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rlando\Dropbox\Material PIC\Nutrition Symposium\2018 Nutrition Seminars NAM\Lysine\"/>
    </mc:Choice>
  </mc:AlternateContent>
  <xr:revisionPtr revIDLastSave="0" documentId="13_ncr:1_{30547575-DB54-4006-A66E-7D0BE257A613}" xr6:coauthVersionLast="31" xr6:coauthVersionMax="31" xr10:uidLastSave="{00000000-0000-0000-0000-000000000000}"/>
  <bookViews>
    <workbookView xWindow="396" yWindow="96" windowWidth="8580" windowHeight="3456" activeTab="2" xr2:uid="{00000000-000D-0000-FFFF-FFFF00000000}"/>
  </bookViews>
  <sheets>
    <sheet name="Instructions" sheetId="9" r:id="rId1"/>
    <sheet name="Lbs - NE" sheetId="12" r:id="rId2"/>
    <sheet name="Lbs - ME" sheetId="10" r:id="rId3"/>
    <sheet name="Metric - ME" sheetId="6" r:id="rId4"/>
    <sheet name="Metric - NE" sheetId="11" r:id="rId5"/>
  </sheets>
  <definedNames>
    <definedName name="solver_adj" localSheetId="0" hidden="1">Instructions!#REF!</definedName>
    <definedName name="solver_adj" localSheetId="2" hidden="1">'Lbs - ME'!#REF!</definedName>
    <definedName name="solver_adj" localSheetId="1" hidden="1">'Lbs - NE'!#REF!</definedName>
    <definedName name="solver_adj" localSheetId="3" hidden="1">'Metric - ME'!#REF!</definedName>
    <definedName name="solver_adj" localSheetId="4" hidden="1">'Metric - NE'!#REF!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itr" localSheetId="4" hidden="1">100</definedName>
    <definedName name="solver_lhs1" localSheetId="0" hidden="1">Instructions!#REF!</definedName>
    <definedName name="solver_lhs1" localSheetId="2" hidden="1">'Lbs - ME'!#REF!</definedName>
    <definedName name="solver_lhs1" localSheetId="1" hidden="1">'Lbs - NE'!#REF!</definedName>
    <definedName name="solver_lhs1" localSheetId="3" hidden="1">'Metric - ME'!#REF!</definedName>
    <definedName name="solver_lhs1" localSheetId="4" hidden="1">'Metric - NE'!#REF!</definedName>
    <definedName name="solver_lhs2" localSheetId="0" hidden="1">Instructions!#REF!</definedName>
    <definedName name="solver_lhs2" localSheetId="2" hidden="1">'Lbs - ME'!#REF!</definedName>
    <definedName name="solver_lhs2" localSheetId="1" hidden="1">'Lbs - NE'!#REF!</definedName>
    <definedName name="solver_lhs2" localSheetId="3" hidden="1">'Metric - ME'!#REF!</definedName>
    <definedName name="solver_lhs2" localSheetId="4" hidden="1">'Metric - NE'!#REF!</definedName>
    <definedName name="solver_lin" localSheetId="0" hidden="1">2</definedName>
    <definedName name="solver_lin" localSheetId="2" hidden="1">2</definedName>
    <definedName name="solver_lin" localSheetId="1" hidden="1">2</definedName>
    <definedName name="solver_lin" localSheetId="3" hidden="1">2</definedName>
    <definedName name="solver_lin" localSheetId="4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eg" localSheetId="3" hidden="1">2</definedName>
    <definedName name="solver_neg" localSheetId="4" hidden="1">2</definedName>
    <definedName name="solver_num" localSheetId="0" hidden="1">2</definedName>
    <definedName name="solver_num" localSheetId="2" hidden="1">2</definedName>
    <definedName name="solver_num" localSheetId="1" hidden="1">2</definedName>
    <definedName name="solver_num" localSheetId="3" hidden="1">2</definedName>
    <definedName name="solver_num" localSheetId="4" hidden="1">2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opt" localSheetId="0" hidden="1">Instructions!#REF!</definedName>
    <definedName name="solver_opt" localSheetId="2" hidden="1">'Lbs - ME'!#REF!</definedName>
    <definedName name="solver_opt" localSheetId="1" hidden="1">'Lbs - NE'!#REF!</definedName>
    <definedName name="solver_opt" localSheetId="3" hidden="1">'Metric - ME'!#REF!</definedName>
    <definedName name="solver_opt" localSheetId="4" hidden="1">'Metric - NE'!#REF!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rel1" localSheetId="0" hidden="1">2</definedName>
    <definedName name="solver_rel1" localSheetId="2" hidden="1">2</definedName>
    <definedName name="solver_rel1" localSheetId="1" hidden="1">2</definedName>
    <definedName name="solver_rel1" localSheetId="3" hidden="1">2</definedName>
    <definedName name="solver_rel1" localSheetId="4" hidden="1">2</definedName>
    <definedName name="solver_rel2" localSheetId="0" hidden="1">2</definedName>
    <definedName name="solver_rel2" localSheetId="2" hidden="1">2</definedName>
    <definedName name="solver_rel2" localSheetId="1" hidden="1">2</definedName>
    <definedName name="solver_rel2" localSheetId="3" hidden="1">2</definedName>
    <definedName name="solver_rel2" localSheetId="4" hidden="1">2</definedName>
    <definedName name="solver_rhs1" localSheetId="0" hidden="1">0</definedName>
    <definedName name="solver_rhs1" localSheetId="2" hidden="1">0</definedName>
    <definedName name="solver_rhs1" localSheetId="1" hidden="1">0</definedName>
    <definedName name="solver_rhs1" localSheetId="3" hidden="1">0</definedName>
    <definedName name="solver_rhs1" localSheetId="4" hidden="1">0</definedName>
    <definedName name="solver_rhs2" localSheetId="0" hidden="1">0</definedName>
    <definedName name="solver_rhs2" localSheetId="2" hidden="1">0</definedName>
    <definedName name="solver_rhs2" localSheetId="1" hidden="1">0</definedName>
    <definedName name="solver_rhs2" localSheetId="3" hidden="1">0</definedName>
    <definedName name="solver_rhs2" localSheetId="4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im" localSheetId="4" hidden="1">100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ol" localSheetId="4" hidden="1">0.05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typ" localSheetId="3" hidden="1">2</definedName>
    <definedName name="solver_typ" localSheetId="4" hidden="1">2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al" localSheetId="4" hidden="1">0</definedName>
  </definedNames>
  <calcPr calcId="179017"/>
</workbook>
</file>

<file path=xl/calcChain.xml><?xml version="1.0" encoding="utf-8"?>
<calcChain xmlns="http://schemas.openxmlformats.org/spreadsheetml/2006/main">
  <c r="I17" i="12" l="1"/>
  <c r="H17" i="12"/>
  <c r="G17" i="12"/>
  <c r="F17" i="12"/>
  <c r="E17" i="12"/>
  <c r="D17" i="12"/>
  <c r="C17" i="12"/>
  <c r="B17" i="12"/>
  <c r="I16" i="12"/>
  <c r="I18" i="12" s="1"/>
  <c r="H16" i="12"/>
  <c r="G16" i="12"/>
  <c r="F16" i="12"/>
  <c r="F18" i="12" s="1"/>
  <c r="E16" i="12"/>
  <c r="E18" i="12" s="1"/>
  <c r="D16" i="12"/>
  <c r="D18" i="12" s="1"/>
  <c r="C16" i="12"/>
  <c r="C18" i="12" s="1"/>
  <c r="B16" i="12"/>
  <c r="B18" i="12" s="1"/>
  <c r="I13" i="12"/>
  <c r="H13" i="12"/>
  <c r="G13" i="12"/>
  <c r="F13" i="12"/>
  <c r="E13" i="12"/>
  <c r="D13" i="12"/>
  <c r="C13" i="12"/>
  <c r="B13" i="12"/>
  <c r="I12" i="12"/>
  <c r="I14" i="12" s="1"/>
  <c r="I22" i="12" s="1"/>
  <c r="H12" i="12"/>
  <c r="H14" i="12" s="1"/>
  <c r="H22" i="12" s="1"/>
  <c r="G12" i="12"/>
  <c r="G14" i="12" s="1"/>
  <c r="G21" i="12" s="1"/>
  <c r="G26" i="12" s="1"/>
  <c r="F12" i="12"/>
  <c r="F14" i="12" s="1"/>
  <c r="F22" i="12" s="1"/>
  <c r="E12" i="12"/>
  <c r="E14" i="12" s="1"/>
  <c r="E22" i="12" s="1"/>
  <c r="D12" i="12"/>
  <c r="D14" i="12" s="1"/>
  <c r="D22" i="12" s="1"/>
  <c r="C12" i="12"/>
  <c r="C14" i="12" s="1"/>
  <c r="C21" i="12" s="1"/>
  <c r="C26" i="12" s="1"/>
  <c r="B12" i="12"/>
  <c r="I17" i="11"/>
  <c r="H17" i="11"/>
  <c r="G17" i="11"/>
  <c r="F17" i="11"/>
  <c r="E17" i="11"/>
  <c r="D17" i="11"/>
  <c r="C17" i="11"/>
  <c r="B17" i="11"/>
  <c r="I16" i="11"/>
  <c r="I18" i="11" s="1"/>
  <c r="H16" i="11"/>
  <c r="H18" i="11" s="1"/>
  <c r="G16" i="11"/>
  <c r="G18" i="11" s="1"/>
  <c r="F16" i="11"/>
  <c r="F18" i="11" s="1"/>
  <c r="E16" i="11"/>
  <c r="E18" i="11" s="1"/>
  <c r="D16" i="11"/>
  <c r="D18" i="11" s="1"/>
  <c r="C16" i="11"/>
  <c r="C18" i="11" s="1"/>
  <c r="B16" i="11"/>
  <c r="B18" i="11" s="1"/>
  <c r="I13" i="11"/>
  <c r="H13" i="11"/>
  <c r="G13" i="11"/>
  <c r="F13" i="11"/>
  <c r="E13" i="11"/>
  <c r="D13" i="11"/>
  <c r="C13" i="11"/>
  <c r="B13" i="11"/>
  <c r="I12" i="11"/>
  <c r="I14" i="11" s="1"/>
  <c r="I22" i="11" s="1"/>
  <c r="I27" i="11" s="1"/>
  <c r="H12" i="11"/>
  <c r="H14" i="11" s="1"/>
  <c r="H22" i="11" s="1"/>
  <c r="H27" i="11" s="1"/>
  <c r="G12" i="11"/>
  <c r="G14" i="11" s="1"/>
  <c r="G21" i="11" s="1"/>
  <c r="G26" i="11" s="1"/>
  <c r="F12" i="11"/>
  <c r="F14" i="11" s="1"/>
  <c r="F22" i="11" s="1"/>
  <c r="F27" i="11" s="1"/>
  <c r="E12" i="11"/>
  <c r="E14" i="11" s="1"/>
  <c r="E22" i="11" s="1"/>
  <c r="E27" i="11" s="1"/>
  <c r="D12" i="11"/>
  <c r="D14" i="11" s="1"/>
  <c r="D22" i="11" s="1"/>
  <c r="D27" i="11" s="1"/>
  <c r="C12" i="11"/>
  <c r="C14" i="11" s="1"/>
  <c r="C21" i="11" s="1"/>
  <c r="C26" i="11" s="1"/>
  <c r="B12" i="11"/>
  <c r="B16" i="10"/>
  <c r="C12" i="10"/>
  <c r="D12" i="10"/>
  <c r="E12" i="10"/>
  <c r="F12" i="10"/>
  <c r="G12" i="10"/>
  <c r="H12" i="10"/>
  <c r="I12" i="10"/>
  <c r="C13" i="10"/>
  <c r="D13" i="10"/>
  <c r="E13" i="10"/>
  <c r="F13" i="10"/>
  <c r="G13" i="10"/>
  <c r="H13" i="10"/>
  <c r="I13" i="10"/>
  <c r="B13" i="10"/>
  <c r="B12" i="10"/>
  <c r="C16" i="10"/>
  <c r="D16" i="10"/>
  <c r="E16" i="10"/>
  <c r="F16" i="10"/>
  <c r="G16" i="10"/>
  <c r="H16" i="10"/>
  <c r="I16" i="10"/>
  <c r="C17" i="10"/>
  <c r="D17" i="10"/>
  <c r="E17" i="10"/>
  <c r="F17" i="10"/>
  <c r="G17" i="10"/>
  <c r="H17" i="10"/>
  <c r="I17" i="10"/>
  <c r="B17" i="10"/>
  <c r="B12" i="6"/>
  <c r="C12" i="6"/>
  <c r="D12" i="6"/>
  <c r="E12" i="6"/>
  <c r="F12" i="6"/>
  <c r="G12" i="6"/>
  <c r="H12" i="6"/>
  <c r="I12" i="6"/>
  <c r="C13" i="6"/>
  <c r="D13" i="6"/>
  <c r="E13" i="6"/>
  <c r="F13" i="6"/>
  <c r="G13" i="6"/>
  <c r="H13" i="6"/>
  <c r="I13" i="6"/>
  <c r="B13" i="6"/>
  <c r="H18" i="12" l="1"/>
  <c r="B14" i="12"/>
  <c r="B22" i="12" s="1"/>
  <c r="B27" i="12" s="1"/>
  <c r="D21" i="11"/>
  <c r="D26" i="11" s="1"/>
  <c r="D29" i="11" s="1"/>
  <c r="I23" i="11"/>
  <c r="I28" i="11" s="1"/>
  <c r="I30" i="11" s="1"/>
  <c r="F23" i="12"/>
  <c r="F28" i="12" s="1"/>
  <c r="F27" i="12"/>
  <c r="D23" i="12"/>
  <c r="D28" i="12" s="1"/>
  <c r="D27" i="12"/>
  <c r="H23" i="12"/>
  <c r="H28" i="12" s="1"/>
  <c r="H27" i="12"/>
  <c r="E23" i="12"/>
  <c r="E28" i="12" s="1"/>
  <c r="E27" i="12"/>
  <c r="I23" i="12"/>
  <c r="I28" i="12" s="1"/>
  <c r="I27" i="12"/>
  <c r="H18" i="10"/>
  <c r="D18" i="10"/>
  <c r="H14" i="10"/>
  <c r="H22" i="10" s="1"/>
  <c r="H27" i="10" s="1"/>
  <c r="D14" i="10"/>
  <c r="D22" i="10" s="1"/>
  <c r="D27" i="10" s="1"/>
  <c r="B14" i="11"/>
  <c r="B21" i="11" s="1"/>
  <c r="B26" i="11" s="1"/>
  <c r="E23" i="11"/>
  <c r="E28" i="11" s="1"/>
  <c r="E30" i="11" s="1"/>
  <c r="F21" i="12"/>
  <c r="F26" i="12" s="1"/>
  <c r="F29" i="12" s="1"/>
  <c r="G18" i="12"/>
  <c r="C22" i="12"/>
  <c r="H21" i="12"/>
  <c r="H26" i="12" s="1"/>
  <c r="F18" i="10"/>
  <c r="I18" i="10"/>
  <c r="E18" i="10"/>
  <c r="B14" i="10"/>
  <c r="B21" i="10" s="1"/>
  <c r="B26" i="10" s="1"/>
  <c r="F14" i="10"/>
  <c r="F21" i="10" s="1"/>
  <c r="F26" i="10" s="1"/>
  <c r="I14" i="10"/>
  <c r="I21" i="10" s="1"/>
  <c r="I26" i="10" s="1"/>
  <c r="E14" i="10"/>
  <c r="E22" i="10" s="1"/>
  <c r="E27" i="10" s="1"/>
  <c r="G22" i="11"/>
  <c r="G22" i="12"/>
  <c r="G27" i="12" s="1"/>
  <c r="G29" i="12" s="1"/>
  <c r="D21" i="12"/>
  <c r="D26" i="12" s="1"/>
  <c r="C22" i="11"/>
  <c r="F23" i="11"/>
  <c r="F28" i="11" s="1"/>
  <c r="F30" i="11" s="1"/>
  <c r="I21" i="12"/>
  <c r="I26" i="12" s="1"/>
  <c r="E21" i="12"/>
  <c r="E26" i="12" s="1"/>
  <c r="H21" i="11"/>
  <c r="H26" i="11" s="1"/>
  <c r="H29" i="11" s="1"/>
  <c r="F21" i="11"/>
  <c r="F26" i="11" s="1"/>
  <c r="F29" i="11" s="1"/>
  <c r="H23" i="11"/>
  <c r="H28" i="11" s="1"/>
  <c r="H30" i="11" s="1"/>
  <c r="D23" i="11"/>
  <c r="D28" i="11" s="1"/>
  <c r="D30" i="11" s="1"/>
  <c r="I21" i="11"/>
  <c r="I26" i="11" s="1"/>
  <c r="I29" i="11" s="1"/>
  <c r="E21" i="11"/>
  <c r="E26" i="11" s="1"/>
  <c r="E29" i="11" s="1"/>
  <c r="G18" i="10"/>
  <c r="C18" i="10"/>
  <c r="G14" i="10"/>
  <c r="G21" i="10" s="1"/>
  <c r="G26" i="10" s="1"/>
  <c r="C14" i="10"/>
  <c r="C21" i="10" s="1"/>
  <c r="C26" i="10" s="1"/>
  <c r="B18" i="10"/>
  <c r="H16" i="6"/>
  <c r="I16" i="6"/>
  <c r="H17" i="6"/>
  <c r="I17" i="6"/>
  <c r="I29" i="12" l="1"/>
  <c r="B22" i="10"/>
  <c r="B27" i="10" s="1"/>
  <c r="B29" i="10" s="1"/>
  <c r="B21" i="12"/>
  <c r="B26" i="12" s="1"/>
  <c r="B29" i="12" s="1"/>
  <c r="H21" i="10"/>
  <c r="H26" i="10" s="1"/>
  <c r="D29" i="12"/>
  <c r="I30" i="12"/>
  <c r="H30" i="12"/>
  <c r="H29" i="10"/>
  <c r="G22" i="10"/>
  <c r="G27" i="10" s="1"/>
  <c r="G29" i="10" s="1"/>
  <c r="G23" i="11"/>
  <c r="G28" i="11" s="1"/>
  <c r="G27" i="11"/>
  <c r="E29" i="12"/>
  <c r="C23" i="11"/>
  <c r="C28" i="11" s="1"/>
  <c r="C27" i="11"/>
  <c r="F22" i="10"/>
  <c r="F27" i="10" s="1"/>
  <c r="F29" i="10" s="1"/>
  <c r="E30" i="12"/>
  <c r="D30" i="12"/>
  <c r="F30" i="12"/>
  <c r="H29" i="12"/>
  <c r="C23" i="12"/>
  <c r="C28" i="12" s="1"/>
  <c r="C27" i="12"/>
  <c r="D21" i="10"/>
  <c r="D26" i="10" s="1"/>
  <c r="D29" i="10" s="1"/>
  <c r="I22" i="10"/>
  <c r="I27" i="10" s="1"/>
  <c r="I29" i="10" s="1"/>
  <c r="B22" i="11"/>
  <c r="E21" i="10"/>
  <c r="E26" i="10" s="1"/>
  <c r="E29" i="10" s="1"/>
  <c r="G23" i="12"/>
  <c r="G28" i="12" s="1"/>
  <c r="G30" i="12" s="1"/>
  <c r="C22" i="10"/>
  <c r="C27" i="10" s="1"/>
  <c r="C29" i="10" s="1"/>
  <c r="B23" i="12"/>
  <c r="B28" i="12" s="1"/>
  <c r="B30" i="12" s="1"/>
  <c r="I31" i="12"/>
  <c r="G31" i="12"/>
  <c r="D31" i="12"/>
  <c r="H31" i="11"/>
  <c r="D31" i="11"/>
  <c r="F31" i="11"/>
  <c r="E31" i="11"/>
  <c r="E23" i="10"/>
  <c r="E28" i="10" s="1"/>
  <c r="E30" i="10" s="1"/>
  <c r="H23" i="10"/>
  <c r="H28" i="10" s="1"/>
  <c r="H30" i="10" s="1"/>
  <c r="D23" i="10"/>
  <c r="D28" i="10" s="1"/>
  <c r="D30" i="10" s="1"/>
  <c r="I18" i="6"/>
  <c r="H14" i="6"/>
  <c r="H18" i="6"/>
  <c r="I14" i="6"/>
  <c r="I22" i="6" s="1"/>
  <c r="I27" i="6" s="1"/>
  <c r="I23" i="10" l="1"/>
  <c r="I28" i="10" s="1"/>
  <c r="I30" i="10" s="1"/>
  <c r="B23" i="10"/>
  <c r="B28" i="10" s="1"/>
  <c r="B30" i="10" s="1"/>
  <c r="G23" i="10"/>
  <c r="G28" i="10" s="1"/>
  <c r="G30" i="10" s="1"/>
  <c r="G30" i="11"/>
  <c r="G29" i="11"/>
  <c r="C30" i="11"/>
  <c r="C29" i="11"/>
  <c r="B23" i="11"/>
  <c r="B27" i="11"/>
  <c r="F23" i="10"/>
  <c r="F28" i="10" s="1"/>
  <c r="F30" i="10" s="1"/>
  <c r="C30" i="12"/>
  <c r="C29" i="12"/>
  <c r="B31" i="12"/>
  <c r="I21" i="6"/>
  <c r="I26" i="6" s="1"/>
  <c r="I29" i="6" s="1"/>
  <c r="C23" i="10"/>
  <c r="C31" i="12"/>
  <c r="E31" i="12"/>
  <c r="H31" i="12"/>
  <c r="F31" i="12"/>
  <c r="I31" i="11"/>
  <c r="G31" i="11"/>
  <c r="C31" i="11"/>
  <c r="G31" i="10"/>
  <c r="I23" i="6"/>
  <c r="I28" i="6" s="1"/>
  <c r="I30" i="6" s="1"/>
  <c r="I31" i="10"/>
  <c r="E31" i="10"/>
  <c r="D31" i="10"/>
  <c r="H31" i="10"/>
  <c r="H21" i="6"/>
  <c r="H26" i="6" s="1"/>
  <c r="H22" i="6"/>
  <c r="H27" i="6" s="1"/>
  <c r="B31" i="10" l="1"/>
  <c r="B29" i="11"/>
  <c r="F31" i="10"/>
  <c r="B28" i="11"/>
  <c r="B30" i="11" s="1"/>
  <c r="B31" i="11"/>
  <c r="H29" i="6"/>
  <c r="C31" i="10"/>
  <c r="C28" i="10"/>
  <c r="C30" i="10" s="1"/>
  <c r="H23" i="6"/>
  <c r="H28" i="6" s="1"/>
  <c r="H30" i="6" s="1"/>
  <c r="I31" i="6"/>
  <c r="H31" i="6" l="1"/>
  <c r="B17" i="6" l="1"/>
  <c r="C16" i="6"/>
  <c r="D16" i="6"/>
  <c r="E16" i="6"/>
  <c r="F16" i="6"/>
  <c r="G16" i="6"/>
  <c r="C17" i="6"/>
  <c r="D17" i="6"/>
  <c r="E17" i="6"/>
  <c r="F17" i="6"/>
  <c r="G17" i="6"/>
  <c r="B16" i="6"/>
  <c r="B18" i="6" l="1"/>
  <c r="G18" i="6"/>
  <c r="D14" i="6"/>
  <c r="C18" i="6"/>
  <c r="C14" i="6"/>
  <c r="F18" i="6"/>
  <c r="B14" i="6"/>
  <c r="D18" i="6"/>
  <c r="G14" i="6"/>
  <c r="F14" i="6"/>
  <c r="E18" i="6"/>
  <c r="E14" i="6"/>
  <c r="G6" i="9"/>
  <c r="F6" i="9"/>
  <c r="E6" i="9"/>
  <c r="D6" i="9"/>
  <c r="C6" i="9"/>
  <c r="B6" i="9"/>
  <c r="D21" i="6" l="1"/>
  <c r="D26" i="6" s="1"/>
  <c r="D22" i="6"/>
  <c r="D27" i="6" s="1"/>
  <c r="B22" i="6"/>
  <c r="B27" i="6" s="1"/>
  <c r="B21" i="6"/>
  <c r="B26" i="6" s="1"/>
  <c r="C21" i="6"/>
  <c r="C26" i="6" s="1"/>
  <c r="C22" i="6"/>
  <c r="C27" i="6" s="1"/>
  <c r="G22" i="6"/>
  <c r="G27" i="6" s="1"/>
  <c r="G21" i="6"/>
  <c r="G26" i="6" s="1"/>
  <c r="G29" i="6" s="1"/>
  <c r="F22" i="6"/>
  <c r="F27" i="6" s="1"/>
  <c r="F21" i="6"/>
  <c r="F26" i="6" s="1"/>
  <c r="E22" i="6"/>
  <c r="E27" i="6" s="1"/>
  <c r="E21" i="6"/>
  <c r="E26" i="6" s="1"/>
  <c r="E29" i="6" s="1"/>
  <c r="B29" i="6" l="1"/>
  <c r="F29" i="6"/>
  <c r="C29" i="6"/>
  <c r="D29" i="6"/>
  <c r="G23" i="6"/>
  <c r="E23" i="6"/>
  <c r="E28" i="6" s="1"/>
  <c r="E30" i="6" s="1"/>
  <c r="F23" i="6"/>
  <c r="F28" i="6" s="1"/>
  <c r="F30" i="6" s="1"/>
  <c r="C23" i="6"/>
  <c r="C28" i="6" s="1"/>
  <c r="C30" i="6" s="1"/>
  <c r="D23" i="6"/>
  <c r="D28" i="6" s="1"/>
  <c r="D30" i="6" s="1"/>
  <c r="B23" i="6"/>
  <c r="B28" i="6" l="1"/>
  <c r="B30" i="6" s="1"/>
  <c r="B31" i="6"/>
  <c r="G31" i="6"/>
  <c r="G28" i="6"/>
  <c r="G30" i="6" s="1"/>
  <c r="D31" i="6"/>
  <c r="F31" i="6"/>
  <c r="E31" i="6"/>
  <c r="C31" i="6"/>
</calcChain>
</file>

<file path=xl/sharedStrings.xml><?xml version="1.0" encoding="utf-8"?>
<sst xmlns="http://schemas.openxmlformats.org/spreadsheetml/2006/main" count="75" uniqueCount="21">
  <si>
    <t>Barrows</t>
  </si>
  <si>
    <t>Gilts</t>
  </si>
  <si>
    <t>Energy level, NRC ME kcal</t>
  </si>
  <si>
    <t>Weight In, kg</t>
  </si>
  <si>
    <t>Weight Out, kg</t>
  </si>
  <si>
    <t>Weight Out, lb</t>
  </si>
  <si>
    <t>Weight In, lb</t>
  </si>
  <si>
    <t>Boars</t>
  </si>
  <si>
    <t>Energy level, NRC ME kcal/kg</t>
  </si>
  <si>
    <t>Energy level, NRC NE kcal/kg</t>
  </si>
  <si>
    <t>Energy level, NRC ME kcal/lb</t>
  </si>
  <si>
    <t>Select one of the 4 options (Lbs or Metric and Metabolizable energy or Net energy) from the Excel tabs to estimate the Lysine requirement for PIC finishing pigs.</t>
  </si>
  <si>
    <t>In case of questions contact the PIC nutrition team.</t>
  </si>
  <si>
    <t>SID Lys % (ME equation)</t>
  </si>
  <si>
    <t>SID Lys:Cal ME</t>
  </si>
  <si>
    <t>SID Lys:Cal NE</t>
  </si>
  <si>
    <t>SID Lys % (NE equation)</t>
  </si>
  <si>
    <t>Energy level, NRC NE kcal/lb</t>
  </si>
  <si>
    <t>Boars and Gilts</t>
  </si>
  <si>
    <t>Barrows and Gilts</t>
  </si>
  <si>
    <t>% SID Lys (Boars:Barrows)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</si>
</sst>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center"/>
    </xf>
    <xf numFmtId="0" fontId="1" fillId="0" borderId="0" xfId="0" applyFont="1" applyProtection="1">
      <protection locked="0"/>
    </xf>
    <xf numFmtId="10" fontId="0" fillId="0" borderId="0" xfId="1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220980</xdr:colOff>
      <xdr:row>3</xdr:row>
      <xdr:rowOff>117053</xdr:rowOff>
    </xdr:to>
    <xdr:pic>
      <xdr:nvPicPr>
        <xdr:cNvPr id="3" name="Picture 2" descr="Lysine banner_v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267200" cy="856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491490</xdr:colOff>
      <xdr:row>3</xdr:row>
      <xdr:rowOff>117053</xdr:rowOff>
    </xdr:to>
    <xdr:pic>
      <xdr:nvPicPr>
        <xdr:cNvPr id="2" name="Picture 1" descr="Lysine banner_v2.jpg">
          <a:extLst>
            <a:ext uri="{FF2B5EF4-FFF2-40B4-BE49-F238E27FC236}">
              <a16:creationId xmlns:a16="http://schemas.microsoft.com/office/drawing/2014/main" id="{ACE6D46E-16C7-4EE1-9263-E31B27474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267200" cy="85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491490</xdr:colOff>
      <xdr:row>3</xdr:row>
      <xdr:rowOff>117053</xdr:rowOff>
    </xdr:to>
    <xdr:pic>
      <xdr:nvPicPr>
        <xdr:cNvPr id="2" name="Picture 1" descr="Lysine banner_v2.jpg">
          <a:extLst>
            <a:ext uri="{FF2B5EF4-FFF2-40B4-BE49-F238E27FC236}">
              <a16:creationId xmlns:a16="http://schemas.microsoft.com/office/drawing/2014/main" id="{3C9F6165-E78F-4033-9DF0-23C66BD3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267200" cy="856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491490</xdr:colOff>
      <xdr:row>3</xdr:row>
      <xdr:rowOff>117053</xdr:rowOff>
    </xdr:to>
    <xdr:pic>
      <xdr:nvPicPr>
        <xdr:cNvPr id="4" name="Picture 3" descr="Lysine banner_v2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267200" cy="8561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491490</xdr:colOff>
      <xdr:row>3</xdr:row>
      <xdr:rowOff>117053</xdr:rowOff>
    </xdr:to>
    <xdr:pic>
      <xdr:nvPicPr>
        <xdr:cNvPr id="2" name="Picture 1" descr="Lysine banner_v2.jpg">
          <a:extLst>
            <a:ext uri="{FF2B5EF4-FFF2-40B4-BE49-F238E27FC236}">
              <a16:creationId xmlns:a16="http://schemas.microsoft.com/office/drawing/2014/main" id="{09761183-FF00-474E-A07E-BF9A8CC76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267200" cy="85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showRowColHeaders="0" zoomScaleNormal="100" workbookViewId="0">
      <selection activeCell="B9" sqref="B9"/>
    </sheetView>
  </sheetViews>
  <sheetFormatPr defaultRowHeight="14.4" x14ac:dyDescent="0.3"/>
  <cols>
    <col min="1" max="1" width="5.6640625" customWidth="1"/>
    <col min="2" max="6" width="8.88671875" style="1"/>
  </cols>
  <sheetData>
    <row r="1" spans="1:7" s="9" customFormat="1" ht="24" customHeight="1" x14ac:dyDescent="0.3">
      <c r="B1" s="10"/>
      <c r="C1" s="10"/>
      <c r="D1" s="10"/>
      <c r="E1" s="10"/>
      <c r="F1" s="10"/>
    </row>
    <row r="2" spans="1:7" s="9" customFormat="1" ht="24" customHeight="1" x14ac:dyDescent="0.3">
      <c r="B2" s="10"/>
      <c r="C2" s="10"/>
      <c r="D2" s="10"/>
      <c r="E2" s="10"/>
      <c r="F2" s="10"/>
    </row>
    <row r="3" spans="1:7" s="9" customFormat="1" ht="10.199999999999999" customHeight="1" x14ac:dyDescent="0.3">
      <c r="B3" s="10"/>
      <c r="C3" s="10"/>
      <c r="D3" s="10"/>
      <c r="E3" s="10"/>
      <c r="F3" s="10"/>
    </row>
    <row r="4" spans="1:7" s="9" customFormat="1" ht="10.199999999999999" customHeight="1" x14ac:dyDescent="0.3">
      <c r="B4" s="10"/>
      <c r="C4" s="10"/>
      <c r="D4" s="10"/>
      <c r="E4" s="10"/>
      <c r="F4" s="10"/>
    </row>
    <row r="5" spans="1:7" x14ac:dyDescent="0.3">
      <c r="A5" s="2"/>
      <c r="G5" s="1"/>
    </row>
    <row r="6" spans="1:7" hidden="1" x14ac:dyDescent="0.3">
      <c r="A6" t="s">
        <v>2</v>
      </c>
      <c r="B6" s="4" t="e">
        <f>#REF!*2.2046</f>
        <v>#REF!</v>
      </c>
      <c r="C6" s="4" t="e">
        <f>#REF!*2.2046</f>
        <v>#REF!</v>
      </c>
      <c r="D6" s="4" t="e">
        <f>#REF!*2.2046</f>
        <v>#REF!</v>
      </c>
      <c r="E6" s="4" t="e">
        <f>#REF!*2.2046</f>
        <v>#REF!</v>
      </c>
      <c r="F6" s="4" t="e">
        <f>#REF!*2.2046</f>
        <v>#REF!</v>
      </c>
      <c r="G6" s="4" t="e">
        <f>#REF!*2.2046</f>
        <v>#REF!</v>
      </c>
    </row>
    <row r="7" spans="1:7" x14ac:dyDescent="0.3">
      <c r="B7" s="14" t="s">
        <v>11</v>
      </c>
    </row>
    <row r="8" spans="1:7" x14ac:dyDescent="0.3">
      <c r="B8" s="14" t="s">
        <v>12</v>
      </c>
    </row>
  </sheetData>
  <sheetProtection password="9871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24DA-8684-439F-BD6E-31D36463248E}">
  <dimension ref="A1:I38"/>
  <sheetViews>
    <sheetView showGridLines="0" showRowColHeaders="0" zoomScale="120" zoomScaleNormal="120" workbookViewId="0">
      <selection activeCell="B6" sqref="B6"/>
    </sheetView>
  </sheetViews>
  <sheetFormatPr defaultRowHeight="14.4" x14ac:dyDescent="0.3"/>
  <cols>
    <col min="1" max="1" width="27" customWidth="1"/>
    <col min="2" max="6" width="9.33203125" style="1" customWidth="1"/>
    <col min="7" max="9" width="9.33203125" customWidth="1"/>
  </cols>
  <sheetData>
    <row r="1" spans="1:9" s="9" customFormat="1" ht="24" customHeight="1" x14ac:dyDescent="0.3">
      <c r="B1" s="10"/>
      <c r="C1" s="10"/>
      <c r="D1" s="10"/>
      <c r="E1" s="10"/>
      <c r="F1" s="10"/>
    </row>
    <row r="2" spans="1:9" s="9" customFormat="1" ht="24" customHeight="1" x14ac:dyDescent="0.3">
      <c r="B2" s="10"/>
      <c r="C2" s="10"/>
      <c r="D2" s="10"/>
      <c r="E2" s="10"/>
      <c r="F2" s="10"/>
    </row>
    <row r="3" spans="1:9" s="9" customFormat="1" ht="10.199999999999999" customHeight="1" x14ac:dyDescent="0.3">
      <c r="B3" s="10"/>
      <c r="C3" s="10"/>
      <c r="D3" s="10"/>
      <c r="E3" s="10"/>
      <c r="F3" s="10"/>
    </row>
    <row r="4" spans="1:9" s="9" customFormat="1" ht="10.199999999999999" customHeight="1" x14ac:dyDescent="0.3">
      <c r="B4" s="10"/>
      <c r="C4" s="10"/>
      <c r="D4" s="10"/>
      <c r="E4" s="10"/>
      <c r="F4" s="10"/>
    </row>
    <row r="5" spans="1:9" x14ac:dyDescent="0.3">
      <c r="A5" s="2"/>
      <c r="G5" s="1"/>
    </row>
    <row r="6" spans="1:9" x14ac:dyDescent="0.3">
      <c r="A6" t="s">
        <v>17</v>
      </c>
      <c r="B6" s="11">
        <v>1107.6727794902908</v>
      </c>
      <c r="C6" s="11">
        <v>1107.6727794902908</v>
      </c>
      <c r="D6" s="11">
        <v>1107.6727794902908</v>
      </c>
      <c r="E6" s="11">
        <v>1107.6727794902908</v>
      </c>
      <c r="F6" s="11">
        <v>1107.6727794902908</v>
      </c>
      <c r="G6" s="11">
        <v>1107.6727794902908</v>
      </c>
      <c r="H6" s="11">
        <v>1107.6727794902908</v>
      </c>
      <c r="I6" s="11">
        <v>1107.78</v>
      </c>
    </row>
    <row r="7" spans="1:9" hidden="1" x14ac:dyDescent="0.3">
      <c r="B7" s="13"/>
      <c r="C7" s="13"/>
      <c r="D7" s="13"/>
      <c r="E7" s="13"/>
      <c r="F7" s="13"/>
      <c r="G7" s="13"/>
      <c r="H7" s="13"/>
      <c r="I7" s="13"/>
    </row>
    <row r="8" spans="1:9" hidden="1" x14ac:dyDescent="0.3">
      <c r="B8" s="12"/>
      <c r="C8" s="12"/>
      <c r="D8" s="12"/>
      <c r="E8" s="12"/>
      <c r="F8" s="12"/>
      <c r="G8" s="12"/>
      <c r="H8" s="13"/>
      <c r="I8" s="13"/>
    </row>
    <row r="9" spans="1:9" x14ac:dyDescent="0.3">
      <c r="A9" t="s">
        <v>6</v>
      </c>
      <c r="B9" s="11">
        <v>50.706320302521839</v>
      </c>
      <c r="C9" s="11">
        <v>77.161791764707147</v>
      </c>
      <c r="D9" s="11">
        <v>110.23113109243879</v>
      </c>
      <c r="E9" s="11">
        <v>143.30047042017043</v>
      </c>
      <c r="F9" s="11">
        <v>165.34669663865819</v>
      </c>
      <c r="G9" s="11">
        <v>198.41603596638981</v>
      </c>
      <c r="H9" s="11">
        <v>231.48537529412144</v>
      </c>
      <c r="I9" s="11">
        <v>275.57782773109699</v>
      </c>
    </row>
    <row r="10" spans="1:9" x14ac:dyDescent="0.3">
      <c r="A10" t="s">
        <v>5</v>
      </c>
      <c r="B10" s="11">
        <v>77.161791764707147</v>
      </c>
      <c r="C10" s="11">
        <v>110.23113109243879</v>
      </c>
      <c r="D10" s="11">
        <v>143.30047042017043</v>
      </c>
      <c r="E10" s="11">
        <v>165.34669663865819</v>
      </c>
      <c r="F10" s="11">
        <v>198.41603596638981</v>
      </c>
      <c r="G10" s="11">
        <v>231.48537529412144</v>
      </c>
      <c r="H10" s="11">
        <v>275.57782773109699</v>
      </c>
      <c r="I10" s="11">
        <v>330.69339327731637</v>
      </c>
    </row>
    <row r="11" spans="1:9" x14ac:dyDescent="0.3">
      <c r="G11" s="1"/>
    </row>
    <row r="12" spans="1:9" hidden="1" x14ac:dyDescent="0.3">
      <c r="A12" t="s">
        <v>6</v>
      </c>
      <c r="B12" s="8">
        <f>B9</f>
        <v>50.706320302521839</v>
      </c>
      <c r="C12" s="8">
        <f t="shared" ref="C12:I13" si="0">C9</f>
        <v>77.161791764707147</v>
      </c>
      <c r="D12" s="8">
        <f t="shared" si="0"/>
        <v>110.23113109243879</v>
      </c>
      <c r="E12" s="8">
        <f t="shared" si="0"/>
        <v>143.30047042017043</v>
      </c>
      <c r="F12" s="8">
        <f t="shared" si="0"/>
        <v>165.34669663865819</v>
      </c>
      <c r="G12" s="8">
        <f t="shared" si="0"/>
        <v>198.41603596638981</v>
      </c>
      <c r="H12" s="8">
        <f t="shared" si="0"/>
        <v>231.48537529412144</v>
      </c>
      <c r="I12" s="8">
        <f t="shared" si="0"/>
        <v>275.57782773109699</v>
      </c>
    </row>
    <row r="13" spans="1:9" hidden="1" x14ac:dyDescent="0.3">
      <c r="A13" t="s">
        <v>5</v>
      </c>
      <c r="B13" s="8">
        <f>B10</f>
        <v>77.161791764707147</v>
      </c>
      <c r="C13" s="8">
        <f t="shared" si="0"/>
        <v>110.23113109243879</v>
      </c>
      <c r="D13" s="8">
        <f t="shared" si="0"/>
        <v>143.30047042017043</v>
      </c>
      <c r="E13" s="8">
        <f t="shared" si="0"/>
        <v>165.34669663865819</v>
      </c>
      <c r="F13" s="8">
        <f t="shared" si="0"/>
        <v>198.41603596638981</v>
      </c>
      <c r="G13" s="8">
        <f t="shared" si="0"/>
        <v>231.48537529412144</v>
      </c>
      <c r="H13" s="8">
        <f t="shared" si="0"/>
        <v>275.57782773109699</v>
      </c>
      <c r="I13" s="8">
        <f t="shared" si="0"/>
        <v>330.69339327731637</v>
      </c>
    </row>
    <row r="14" spans="1:9" hidden="1" x14ac:dyDescent="0.3">
      <c r="B14" s="3">
        <f>IF(B12&gt;0,AVERAGE(B12:B13)," ")</f>
        <v>63.934056033614496</v>
      </c>
      <c r="C14" s="3">
        <f t="shared" ref="C14:I14" si="1">AVERAGE(C12:C13)</f>
        <v>93.696461428572974</v>
      </c>
      <c r="D14" s="3">
        <f t="shared" si="1"/>
        <v>126.7658007563046</v>
      </c>
      <c r="E14" s="3">
        <f t="shared" si="1"/>
        <v>154.32358352941429</v>
      </c>
      <c r="F14" s="3">
        <f t="shared" si="1"/>
        <v>181.88136630252399</v>
      </c>
      <c r="G14" s="3">
        <f t="shared" si="1"/>
        <v>214.95070563025564</v>
      </c>
      <c r="H14" s="3">
        <f t="shared" si="1"/>
        <v>253.5316015126092</v>
      </c>
      <c r="I14" s="3">
        <f t="shared" si="1"/>
        <v>303.13561050420668</v>
      </c>
    </row>
    <row r="15" spans="1:9" hidden="1" x14ac:dyDescent="0.3">
      <c r="B15" s="3"/>
      <c r="C15" s="3"/>
      <c r="D15" s="3"/>
      <c r="E15" s="3"/>
      <c r="F15" s="5"/>
      <c r="G15" s="6"/>
      <c r="I15" s="7"/>
    </row>
    <row r="16" spans="1:9" hidden="1" x14ac:dyDescent="0.3">
      <c r="A16" t="s">
        <v>3</v>
      </c>
      <c r="B16" s="8">
        <f>IF(B9&gt;0,CONVERT(B9/1000,"lbm","g")," ")</f>
        <v>23</v>
      </c>
      <c r="C16" s="8">
        <f t="shared" ref="C16:I17" si="2">IF(C9&gt;0,CONVERT(C9/1000,"lbm","g")," ")</f>
        <v>35</v>
      </c>
      <c r="D16" s="8">
        <f t="shared" si="2"/>
        <v>50</v>
      </c>
      <c r="E16" s="8">
        <f t="shared" si="2"/>
        <v>65.000000000000014</v>
      </c>
      <c r="F16" s="8">
        <f t="shared" si="2"/>
        <v>75.000000000000014</v>
      </c>
      <c r="G16" s="8">
        <f t="shared" si="2"/>
        <v>90</v>
      </c>
      <c r="H16" s="8">
        <f t="shared" si="2"/>
        <v>105</v>
      </c>
      <c r="I16" s="8">
        <f t="shared" si="2"/>
        <v>125.00000000000003</v>
      </c>
    </row>
    <row r="17" spans="1:9" hidden="1" x14ac:dyDescent="0.3">
      <c r="A17" t="s">
        <v>4</v>
      </c>
      <c r="B17" s="8">
        <f>IF(B10&gt;0,CONVERT(B10/1000,"lbm","g")," ")</f>
        <v>35</v>
      </c>
      <c r="C17" s="8">
        <f t="shared" si="2"/>
        <v>50</v>
      </c>
      <c r="D17" s="8">
        <f t="shared" si="2"/>
        <v>65.000000000000014</v>
      </c>
      <c r="E17" s="8">
        <f t="shared" si="2"/>
        <v>75.000000000000014</v>
      </c>
      <c r="F17" s="8">
        <f t="shared" si="2"/>
        <v>90</v>
      </c>
      <c r="G17" s="8">
        <f t="shared" si="2"/>
        <v>105</v>
      </c>
      <c r="H17" s="8">
        <f t="shared" si="2"/>
        <v>125.00000000000003</v>
      </c>
      <c r="I17" s="8">
        <f t="shared" si="2"/>
        <v>150.00000000000003</v>
      </c>
    </row>
    <row r="18" spans="1:9" hidden="1" x14ac:dyDescent="0.3">
      <c r="B18" s="3">
        <f>IF(B16&gt;0,AVERAGE(B16:B17)," ")</f>
        <v>29</v>
      </c>
      <c r="C18" s="3">
        <f t="shared" ref="C18:H18" si="3">IF(C16&gt;0,AVERAGE(C16:C17)," ")</f>
        <v>42.5</v>
      </c>
      <c r="D18" s="3">
        <f t="shared" si="3"/>
        <v>57.500000000000007</v>
      </c>
      <c r="E18" s="3">
        <f t="shared" si="3"/>
        <v>70.000000000000014</v>
      </c>
      <c r="F18" s="3">
        <f t="shared" si="3"/>
        <v>82.5</v>
      </c>
      <c r="G18" s="3">
        <f t="shared" si="3"/>
        <v>97.5</v>
      </c>
      <c r="H18" s="3">
        <f t="shared" si="3"/>
        <v>115.00000000000001</v>
      </c>
      <c r="I18" s="3">
        <f>IF(I16&gt;0,AVERAGE(I16:I17)," ")</f>
        <v>137.50000000000003</v>
      </c>
    </row>
    <row r="19" spans="1:9" hidden="1" x14ac:dyDescent="0.3">
      <c r="B19" s="3"/>
      <c r="C19" s="3"/>
      <c r="D19" s="3"/>
      <c r="E19" s="3"/>
      <c r="F19" s="5"/>
      <c r="G19" s="6"/>
      <c r="I19" s="7"/>
    </row>
    <row r="20" spans="1:9" x14ac:dyDescent="0.3">
      <c r="A20" t="s">
        <v>15</v>
      </c>
      <c r="F20" s="6"/>
      <c r="G20" s="6"/>
      <c r="I20" s="7"/>
    </row>
    <row r="21" spans="1:9" x14ac:dyDescent="0.3">
      <c r="A21" t="s">
        <v>0</v>
      </c>
      <c r="B21" s="19">
        <f>IF(B9&gt;0,(0.000042*(B14^2) - 0.02372*(B14) +6.1452)," ")</f>
        <v>4.8003618587608567</v>
      </c>
      <c r="C21" s="19">
        <f t="shared" ref="C21:I21" si="4">IF(C9&gt;0,(0.000042*(C14^2) - 0.02372*(C14) +6.1452)," ")</f>
        <v>4.2914390640521631</v>
      </c>
      <c r="D21" s="19">
        <f t="shared" si="4"/>
        <v>3.8132370721987137</v>
      </c>
      <c r="E21" s="19">
        <f t="shared" si="4"/>
        <v>3.4849068728834176</v>
      </c>
      <c r="F21" s="19">
        <f t="shared" si="4"/>
        <v>3.2203689104431925</v>
      </c>
      <c r="G21" s="19">
        <f t="shared" si="4"/>
        <v>2.9871291081900182</v>
      </c>
      <c r="H21" s="19">
        <f t="shared" si="4"/>
        <v>2.8311178766739453</v>
      </c>
      <c r="I21" s="19">
        <f t="shared" si="4"/>
        <v>2.8142536497820565</v>
      </c>
    </row>
    <row r="22" spans="1:9" x14ac:dyDescent="0.3">
      <c r="A22" t="s">
        <v>1</v>
      </c>
      <c r="B22" s="20">
        <f>IF(B9&gt;0,(0.000056*(B14^2) - 0.02844*(B14) +6.6391)," ")</f>
        <v>5.0497190035749284</v>
      </c>
      <c r="C22" s="20">
        <f t="shared" ref="C22:I22" si="5">IF(C9&gt;0,(0.000056*(C14^2) - 0.02844*(C14) +6.6391)," ")</f>
        <v>4.4659981424886048</v>
      </c>
      <c r="D22" s="20">
        <f t="shared" si="5"/>
        <v>3.9337764480083757</v>
      </c>
      <c r="E22" s="20">
        <f t="shared" si="5"/>
        <v>3.5838203166916238</v>
      </c>
      <c r="F22" s="20">
        <f t="shared" si="5"/>
        <v>3.318920501208301</v>
      </c>
      <c r="G22" s="20">
        <f t="shared" si="5"/>
        <v>3.1133150595284396</v>
      </c>
      <c r="H22" s="20">
        <f t="shared" si="5"/>
        <v>3.0282445390521082</v>
      </c>
      <c r="I22" s="20">
        <f t="shared" si="5"/>
        <v>3.1638303451828147</v>
      </c>
    </row>
    <row r="23" spans="1:9" x14ac:dyDescent="0.3">
      <c r="A23" t="s">
        <v>7</v>
      </c>
      <c r="B23" s="20">
        <f>IF(B9&gt;0,(IF((0.000042*(B14^2)-0.02372*(B14)+6.1452)*(0.0023*(B18)+0.9644)&lt;B22,B22,(0.000042*(B14^2)-0.02372*(B14)+6.1452)*(0.0023*(B18)+0.9644)))," ")</f>
        <v>5.0497190035749284</v>
      </c>
      <c r="C23" s="20">
        <f t="shared" ref="C23:I23" si="6">IF(C9&gt;0,(IF((0.000042*(C14^2)-0.02372*(C14)+6.1452)*(0.0023*(C18)+0.9644)&lt;C22,C22,(0.000042*(C14^2)-0.02372*(C14)+6.1452)*(0.0023*(C18)+0.9644)))," ")</f>
        <v>4.5581520018830046</v>
      </c>
      <c r="D23" s="20">
        <f t="shared" si="6"/>
        <v>4.1817864352267202</v>
      </c>
      <c r="E23" s="20">
        <f t="shared" si="6"/>
        <v>3.9219141947429979</v>
      </c>
      <c r="F23" s="20">
        <f t="shared" si="6"/>
        <v>3.7167887779880107</v>
      </c>
      <c r="G23" s="20">
        <f t="shared" si="6"/>
        <v>3.5506510144500649</v>
      </c>
      <c r="H23" s="20">
        <f t="shared" si="6"/>
        <v>3.4791607586446118</v>
      </c>
      <c r="I23" s="20">
        <f t="shared" si="6"/>
        <v>3.6040739365933909</v>
      </c>
    </row>
    <row r="25" spans="1:9" x14ac:dyDescent="0.3">
      <c r="A25" t="s">
        <v>16</v>
      </c>
      <c r="F25" s="6"/>
      <c r="G25" s="6"/>
      <c r="I25" s="7"/>
    </row>
    <row r="26" spans="1:9" x14ac:dyDescent="0.3">
      <c r="A26" t="s">
        <v>0</v>
      </c>
      <c r="B26" s="19">
        <f>IF(B$6&gt;0,(B21*(B$6*2.204622)/10000)," ")</f>
        <v>1.1722482595647981</v>
      </c>
      <c r="C26" s="19">
        <f t="shared" ref="C26:I26" si="7">IF(C$6&gt;0,(C21*(C$6*2.204622)/10000)," ")</f>
        <v>1.0479693243713337</v>
      </c>
      <c r="D26" s="19">
        <f t="shared" si="7"/>
        <v>0.93119240855454777</v>
      </c>
      <c r="E26" s="19">
        <f t="shared" si="7"/>
        <v>0.85101418115540095</v>
      </c>
      <c r="F26" s="19">
        <f t="shared" si="7"/>
        <v>0.78641401658792798</v>
      </c>
      <c r="G26" s="19">
        <f t="shared" si="7"/>
        <v>0.72945686204477045</v>
      </c>
      <c r="H26" s="19">
        <f t="shared" si="7"/>
        <v>0.69135892276473332</v>
      </c>
      <c r="I26" s="19">
        <f t="shared" si="7"/>
        <v>0.68730720245457422</v>
      </c>
    </row>
    <row r="27" spans="1:9" x14ac:dyDescent="0.3">
      <c r="A27" t="s">
        <v>1</v>
      </c>
      <c r="B27" s="19">
        <f>IF(B$6&gt;0,(B22*(B$6*2.204622)/10000)," ")</f>
        <v>1.233141268804272</v>
      </c>
      <c r="C27" s="19">
        <f t="shared" ref="C27:I27" si="8">IF(C$6&gt;0,(C22*(C$6*2.204622)/10000)," ")</f>
        <v>1.0905966474584259</v>
      </c>
      <c r="D27" s="19">
        <f t="shared" si="8"/>
        <v>0.96062812145690346</v>
      </c>
      <c r="E27" s="19">
        <f t="shared" si="8"/>
        <v>0.87516884194209033</v>
      </c>
      <c r="F27" s="19">
        <f t="shared" si="8"/>
        <v>0.81048031286950917</v>
      </c>
      <c r="G27" s="19">
        <f t="shared" si="8"/>
        <v>0.76027146856615813</v>
      </c>
      <c r="H27" s="19">
        <f t="shared" si="8"/>
        <v>0.73949724935044392</v>
      </c>
      <c r="I27" s="19">
        <f t="shared" si="8"/>
        <v>0.77268208704531349</v>
      </c>
    </row>
    <row r="28" spans="1:9" x14ac:dyDescent="0.3">
      <c r="A28" t="s">
        <v>7</v>
      </c>
      <c r="B28" s="19">
        <f>IF(B$6&gt;0,(B23*(B$6*2.204622)/10000)," ")</f>
        <v>1.233141268804272</v>
      </c>
      <c r="C28" s="19">
        <f t="shared" ref="C28:I28" si="9">IF(C$6&gt;0,(C23*(C$6*2.204622)/10000)," ")</f>
        <v>1.1131006178810119</v>
      </c>
      <c r="D28" s="19">
        <f t="shared" si="9"/>
        <v>1.0211921548413452</v>
      </c>
      <c r="E28" s="19">
        <f t="shared" si="9"/>
        <v>0.95773135947228816</v>
      </c>
      <c r="F28" s="19">
        <f t="shared" si="9"/>
        <v>0.90763973724495717</v>
      </c>
      <c r="G28" s="19">
        <f t="shared" si="9"/>
        <v>0.86706889906951634</v>
      </c>
      <c r="H28" s="19">
        <f t="shared" si="9"/>
        <v>0.84961098018558101</v>
      </c>
      <c r="I28" s="19">
        <f t="shared" si="9"/>
        <v>0.88019996882345053</v>
      </c>
    </row>
    <row r="29" spans="1:9" x14ac:dyDescent="0.3">
      <c r="A29" t="s">
        <v>19</v>
      </c>
      <c r="B29" s="19">
        <f>IF(B$6&gt;0,AVERAGE(B26:B27)," ")</f>
        <v>1.2026947641845349</v>
      </c>
      <c r="C29" s="19">
        <f t="shared" ref="C29:I29" si="10">IF(C$6&gt;0,AVERAGE(C26:C27)," ")</f>
        <v>1.0692829859148798</v>
      </c>
      <c r="D29" s="19">
        <f t="shared" si="10"/>
        <v>0.94591026500572561</v>
      </c>
      <c r="E29" s="19">
        <f t="shared" si="10"/>
        <v>0.86309151154874564</v>
      </c>
      <c r="F29" s="19">
        <f t="shared" si="10"/>
        <v>0.79844716472871857</v>
      </c>
      <c r="G29" s="19">
        <f t="shared" si="10"/>
        <v>0.74486416530546429</v>
      </c>
      <c r="H29" s="19">
        <f t="shared" si="10"/>
        <v>0.71542808605758856</v>
      </c>
      <c r="I29" s="19">
        <f t="shared" si="10"/>
        <v>0.72999464474994391</v>
      </c>
    </row>
    <row r="30" spans="1:9" x14ac:dyDescent="0.3">
      <c r="A30" t="s">
        <v>18</v>
      </c>
      <c r="B30" s="19">
        <f>IF(B$6&gt;0,AVERAGE(B27:B28)," ")</f>
        <v>1.233141268804272</v>
      </c>
      <c r="C30" s="19">
        <f t="shared" ref="C30:I30" si="11">IF(C$6&gt;0,AVERAGE(C27:C28)," ")</f>
        <v>1.1018486326697188</v>
      </c>
      <c r="D30" s="19">
        <f t="shared" si="11"/>
        <v>0.99091013814912432</v>
      </c>
      <c r="E30" s="19">
        <f t="shared" si="11"/>
        <v>0.91645010070718924</v>
      </c>
      <c r="F30" s="19">
        <f t="shared" si="11"/>
        <v>0.85906002505723311</v>
      </c>
      <c r="G30" s="19">
        <f t="shared" si="11"/>
        <v>0.81367018381783729</v>
      </c>
      <c r="H30" s="19">
        <f t="shared" si="11"/>
        <v>0.79455411476801241</v>
      </c>
      <c r="I30" s="19">
        <f t="shared" si="11"/>
        <v>0.82644102793438201</v>
      </c>
    </row>
    <row r="31" spans="1:9" hidden="1" x14ac:dyDescent="0.3">
      <c r="A31" s="17" t="s">
        <v>20</v>
      </c>
      <c r="B31" s="18">
        <f t="shared" ref="B31:I31" si="12">B23/B21</f>
        <v>1.0519454891424456</v>
      </c>
      <c r="C31" s="18">
        <f t="shared" si="12"/>
        <v>1.0621499999999999</v>
      </c>
      <c r="D31" s="18">
        <f t="shared" si="12"/>
        <v>1.0966500000000001</v>
      </c>
      <c r="E31" s="18">
        <f t="shared" si="12"/>
        <v>1.1254</v>
      </c>
      <c r="F31" s="18">
        <f t="shared" si="12"/>
        <v>1.15415</v>
      </c>
      <c r="G31" s="18">
        <f t="shared" si="12"/>
        <v>1.18865</v>
      </c>
      <c r="H31" s="18">
        <f t="shared" si="12"/>
        <v>1.2289000000000001</v>
      </c>
      <c r="I31" s="18">
        <f t="shared" si="12"/>
        <v>1.2806500000000001</v>
      </c>
    </row>
    <row r="34" spans="3:8" x14ac:dyDescent="0.3">
      <c r="C34" s="15"/>
    </row>
    <row r="36" spans="3:8" x14ac:dyDescent="0.3">
      <c r="H36" s="16"/>
    </row>
    <row r="38" spans="3:8" x14ac:dyDescent="0.3">
      <c r="F38" s="16"/>
    </row>
  </sheetData>
  <sheetProtection algorithmName="SHA-512" hashValue="gwjnTatmNRFW1PS11MWCsCzeWrxx9IlNS930eFe/JMKBbcDuwP6U+LYsrUhSQ1M3+fuPeYCD3VXCX5rgxzhl3Q==" saltValue="NfX7jtE9XZsB6zVmBQ2qxg==" spinCount="100000" sheet="1" objects="1" scenarios="1"/>
  <dataValidations count="1">
    <dataValidation type="decimal" errorStyle="warning" allowBlank="1" showInputMessage="1" showErrorMessage="1" error="This calculator is based on data between 50 and 330 lb. It is not recommended to use for body weight outside of this range." sqref="B9:I10" xr:uid="{62D19230-7298-4253-B739-9114177DAB07}">
      <formula1>50</formula1>
      <formula2>330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AC4A-243A-4C80-98E7-69F52ED46C0E}">
  <dimension ref="A1:I38"/>
  <sheetViews>
    <sheetView showGridLines="0" showRowColHeaders="0" tabSelected="1" zoomScale="120" zoomScaleNormal="120" workbookViewId="0">
      <selection activeCell="B6" sqref="B6"/>
    </sheetView>
  </sheetViews>
  <sheetFormatPr defaultRowHeight="14.4" x14ac:dyDescent="0.3"/>
  <cols>
    <col min="1" max="1" width="27" customWidth="1"/>
    <col min="2" max="6" width="9.33203125" style="1" customWidth="1"/>
    <col min="7" max="9" width="9.33203125" customWidth="1"/>
  </cols>
  <sheetData>
    <row r="1" spans="1:9" s="9" customFormat="1" ht="24" customHeight="1" x14ac:dyDescent="0.3">
      <c r="B1" s="10"/>
      <c r="C1" s="10"/>
      <c r="D1" s="10"/>
      <c r="E1" s="10"/>
      <c r="F1" s="10"/>
    </row>
    <row r="2" spans="1:9" s="9" customFormat="1" ht="24" customHeight="1" x14ac:dyDescent="0.3">
      <c r="B2" s="10"/>
      <c r="C2" s="10"/>
      <c r="D2" s="10"/>
      <c r="E2" s="10"/>
      <c r="F2" s="10"/>
    </row>
    <row r="3" spans="1:9" s="9" customFormat="1" ht="10.199999999999999" customHeight="1" x14ac:dyDescent="0.3">
      <c r="B3" s="10"/>
      <c r="C3" s="10"/>
      <c r="D3" s="10"/>
      <c r="E3" s="10"/>
      <c r="F3" s="10"/>
    </row>
    <row r="4" spans="1:9" s="9" customFormat="1" ht="10.199999999999999" customHeight="1" x14ac:dyDescent="0.3">
      <c r="B4" s="10"/>
      <c r="C4" s="10"/>
      <c r="D4" s="10"/>
      <c r="E4" s="10"/>
      <c r="F4" s="10"/>
    </row>
    <row r="5" spans="1:9" x14ac:dyDescent="0.3">
      <c r="A5" s="2"/>
      <c r="G5" s="1"/>
    </row>
    <row r="6" spans="1:9" x14ac:dyDescent="0.3">
      <c r="A6" t="s">
        <v>10</v>
      </c>
      <c r="B6" s="11">
        <v>1496.8551074193119</v>
      </c>
      <c r="C6" s="11">
        <v>1496.8551074193119</v>
      </c>
      <c r="D6" s="11">
        <v>1496.8551074193119</v>
      </c>
      <c r="E6" s="11">
        <v>1496.8551074193119</v>
      </c>
      <c r="F6" s="11">
        <v>1496.8551074193119</v>
      </c>
      <c r="G6" s="11">
        <v>1496.8551074193119</v>
      </c>
      <c r="H6" s="11">
        <v>1496.8551074193119</v>
      </c>
      <c r="I6" s="11">
        <v>1497</v>
      </c>
    </row>
    <row r="7" spans="1:9" hidden="1" x14ac:dyDescent="0.3">
      <c r="B7" s="13"/>
      <c r="C7" s="13"/>
      <c r="D7" s="13"/>
      <c r="E7" s="13"/>
      <c r="F7" s="13"/>
      <c r="G7" s="13"/>
      <c r="H7" s="13"/>
      <c r="I7" s="13"/>
    </row>
    <row r="8" spans="1:9" hidden="1" x14ac:dyDescent="0.3">
      <c r="B8" s="12"/>
      <c r="C8" s="12"/>
      <c r="D8" s="12"/>
      <c r="E8" s="12"/>
      <c r="F8" s="12"/>
      <c r="G8" s="12"/>
      <c r="H8" s="13"/>
      <c r="I8" s="13"/>
    </row>
    <row r="9" spans="1:9" x14ac:dyDescent="0.3">
      <c r="A9" t="s">
        <v>6</v>
      </c>
      <c r="B9" s="11">
        <v>50.706320302521839</v>
      </c>
      <c r="C9" s="11">
        <v>77.161791764707147</v>
      </c>
      <c r="D9" s="11">
        <v>110.23113109243879</v>
      </c>
      <c r="E9" s="11">
        <v>143.30047042017043</v>
      </c>
      <c r="F9" s="11">
        <v>165.34669663865819</v>
      </c>
      <c r="G9" s="11">
        <v>198.41603596638981</v>
      </c>
      <c r="H9" s="11">
        <v>231.48537529412144</v>
      </c>
      <c r="I9" s="11">
        <v>275.57782773109699</v>
      </c>
    </row>
    <row r="10" spans="1:9" x14ac:dyDescent="0.3">
      <c r="A10" t="s">
        <v>5</v>
      </c>
      <c r="B10" s="11">
        <v>77.161791764707147</v>
      </c>
      <c r="C10" s="11">
        <v>110.23113109243879</v>
      </c>
      <c r="D10" s="11">
        <v>143.30047042017043</v>
      </c>
      <c r="E10" s="11">
        <v>165.34669663865819</v>
      </c>
      <c r="F10" s="11">
        <v>198.41603596638981</v>
      </c>
      <c r="G10" s="11">
        <v>231.48537529412144</v>
      </c>
      <c r="H10" s="11">
        <v>275.57782773109699</v>
      </c>
      <c r="I10" s="11">
        <v>330.69339327731637</v>
      </c>
    </row>
    <row r="11" spans="1:9" x14ac:dyDescent="0.3">
      <c r="G11" s="1"/>
    </row>
    <row r="12" spans="1:9" hidden="1" x14ac:dyDescent="0.3">
      <c r="A12" t="s">
        <v>6</v>
      </c>
      <c r="B12" s="8">
        <f>B9</f>
        <v>50.706320302521839</v>
      </c>
      <c r="C12" s="8">
        <f t="shared" ref="C12:I12" si="0">C9</f>
        <v>77.161791764707147</v>
      </c>
      <c r="D12" s="8">
        <f t="shared" si="0"/>
        <v>110.23113109243879</v>
      </c>
      <c r="E12" s="8">
        <f t="shared" si="0"/>
        <v>143.30047042017043</v>
      </c>
      <c r="F12" s="8">
        <f t="shared" si="0"/>
        <v>165.34669663865819</v>
      </c>
      <c r="G12" s="8">
        <f t="shared" si="0"/>
        <v>198.41603596638981</v>
      </c>
      <c r="H12" s="8">
        <f t="shared" si="0"/>
        <v>231.48537529412144</v>
      </c>
      <c r="I12" s="8">
        <f t="shared" si="0"/>
        <v>275.57782773109699</v>
      </c>
    </row>
    <row r="13" spans="1:9" hidden="1" x14ac:dyDescent="0.3">
      <c r="A13" t="s">
        <v>5</v>
      </c>
      <c r="B13" s="8">
        <f>B10</f>
        <v>77.161791764707147</v>
      </c>
      <c r="C13" s="8">
        <f t="shared" ref="C13:I13" si="1">C10</f>
        <v>110.23113109243879</v>
      </c>
      <c r="D13" s="8">
        <f t="shared" si="1"/>
        <v>143.30047042017043</v>
      </c>
      <c r="E13" s="8">
        <f t="shared" si="1"/>
        <v>165.34669663865819</v>
      </c>
      <c r="F13" s="8">
        <f t="shared" si="1"/>
        <v>198.41603596638981</v>
      </c>
      <c r="G13" s="8">
        <f t="shared" si="1"/>
        <v>231.48537529412144</v>
      </c>
      <c r="H13" s="8">
        <f t="shared" si="1"/>
        <v>275.57782773109699</v>
      </c>
      <c r="I13" s="8">
        <f t="shared" si="1"/>
        <v>330.69339327731637</v>
      </c>
    </row>
    <row r="14" spans="1:9" hidden="1" x14ac:dyDescent="0.3">
      <c r="B14" s="3">
        <f>IF(B12&gt;0,AVERAGE(B12:B13)," ")</f>
        <v>63.934056033614496</v>
      </c>
      <c r="C14" s="3">
        <f t="shared" ref="C14:I14" si="2">AVERAGE(C12:C13)</f>
        <v>93.696461428572974</v>
      </c>
      <c r="D14" s="3">
        <f t="shared" si="2"/>
        <v>126.7658007563046</v>
      </c>
      <c r="E14" s="3">
        <f t="shared" si="2"/>
        <v>154.32358352941429</v>
      </c>
      <c r="F14" s="3">
        <f t="shared" si="2"/>
        <v>181.88136630252399</v>
      </c>
      <c r="G14" s="3">
        <f t="shared" si="2"/>
        <v>214.95070563025564</v>
      </c>
      <c r="H14" s="3">
        <f t="shared" si="2"/>
        <v>253.5316015126092</v>
      </c>
      <c r="I14" s="3">
        <f t="shared" si="2"/>
        <v>303.13561050420668</v>
      </c>
    </row>
    <row r="15" spans="1:9" hidden="1" x14ac:dyDescent="0.3">
      <c r="B15" s="3"/>
      <c r="C15" s="3"/>
      <c r="D15" s="3"/>
      <c r="E15" s="3"/>
      <c r="F15" s="5"/>
      <c r="G15" s="6"/>
      <c r="I15" s="7"/>
    </row>
    <row r="16" spans="1:9" hidden="1" x14ac:dyDescent="0.3">
      <c r="A16" t="s">
        <v>3</v>
      </c>
      <c r="B16" s="8">
        <f>IF(B9&gt;0,CONVERT(B9/1000,"lbm","g")," ")</f>
        <v>23</v>
      </c>
      <c r="C16" s="8">
        <f t="shared" ref="C16:I16" si="3">IF(C9&gt;0,CONVERT(C9/1000,"lbm","g")," ")</f>
        <v>35</v>
      </c>
      <c r="D16" s="8">
        <f t="shared" si="3"/>
        <v>50</v>
      </c>
      <c r="E16" s="8">
        <f t="shared" si="3"/>
        <v>65.000000000000014</v>
      </c>
      <c r="F16" s="8">
        <f t="shared" si="3"/>
        <v>75.000000000000014</v>
      </c>
      <c r="G16" s="8">
        <f t="shared" si="3"/>
        <v>90</v>
      </c>
      <c r="H16" s="8">
        <f t="shared" si="3"/>
        <v>105</v>
      </c>
      <c r="I16" s="8">
        <f t="shared" si="3"/>
        <v>125.00000000000003</v>
      </c>
    </row>
    <row r="17" spans="1:9" hidden="1" x14ac:dyDescent="0.3">
      <c r="A17" t="s">
        <v>4</v>
      </c>
      <c r="B17" s="8">
        <f>IF(B10&gt;0,CONVERT(B10/1000,"lbm","g")," ")</f>
        <v>35</v>
      </c>
      <c r="C17" s="8">
        <f t="shared" ref="C17:I17" si="4">IF(C10&gt;0,CONVERT(C10/1000,"lbm","g")," ")</f>
        <v>50</v>
      </c>
      <c r="D17" s="8">
        <f t="shared" si="4"/>
        <v>65.000000000000014</v>
      </c>
      <c r="E17" s="8">
        <f t="shared" si="4"/>
        <v>75.000000000000014</v>
      </c>
      <c r="F17" s="8">
        <f t="shared" si="4"/>
        <v>90</v>
      </c>
      <c r="G17" s="8">
        <f t="shared" si="4"/>
        <v>105</v>
      </c>
      <c r="H17" s="8">
        <f t="shared" si="4"/>
        <v>125.00000000000003</v>
      </c>
      <c r="I17" s="8">
        <f t="shared" si="4"/>
        <v>150.00000000000003</v>
      </c>
    </row>
    <row r="18" spans="1:9" hidden="1" x14ac:dyDescent="0.3">
      <c r="B18" s="3">
        <f>IF(B16&gt;0,AVERAGE(B16:B17)," ")</f>
        <v>29</v>
      </c>
      <c r="C18" s="3">
        <f t="shared" ref="C18:H18" si="5">IF(C16&gt;0,AVERAGE(C16:C17)," ")</f>
        <v>42.5</v>
      </c>
      <c r="D18" s="3">
        <f t="shared" si="5"/>
        <v>57.500000000000007</v>
      </c>
      <c r="E18" s="3">
        <f t="shared" si="5"/>
        <v>70.000000000000014</v>
      </c>
      <c r="F18" s="3">
        <f t="shared" si="5"/>
        <v>82.5</v>
      </c>
      <c r="G18" s="3">
        <f t="shared" si="5"/>
        <v>97.5</v>
      </c>
      <c r="H18" s="3">
        <f t="shared" si="5"/>
        <v>115.00000000000001</v>
      </c>
      <c r="I18" s="3">
        <f>IF(I16&gt;0,AVERAGE(I16:I17)," ")</f>
        <v>137.50000000000003</v>
      </c>
    </row>
    <row r="19" spans="1:9" hidden="1" x14ac:dyDescent="0.3">
      <c r="B19" s="3"/>
      <c r="C19" s="3"/>
      <c r="D19" s="3"/>
      <c r="E19" s="3"/>
      <c r="F19" s="5"/>
      <c r="G19" s="6"/>
      <c r="I19" s="7"/>
    </row>
    <row r="20" spans="1:9" x14ac:dyDescent="0.3">
      <c r="A20" t="s">
        <v>14</v>
      </c>
      <c r="F20" s="6"/>
      <c r="G20" s="6"/>
      <c r="I20" s="7"/>
    </row>
    <row r="21" spans="1:9" x14ac:dyDescent="0.3">
      <c r="A21" t="s">
        <v>0</v>
      </c>
      <c r="B21" s="19">
        <f>IF(B9&gt;0,(0.000031*(B14^2) - 0.0176*(B14) +4.5523)," ")</f>
        <v>3.5537750829565748</v>
      </c>
      <c r="C21" s="19">
        <f t="shared" ref="C21:I21" si="6">IF(C9&gt;0,(0.000031*(C14^2) - 0.0176*(C14) +4.5523)," ")</f>
        <v>3.1753921122684332</v>
      </c>
      <c r="D21" s="19">
        <f t="shared" si="6"/>
        <v>2.8193785221720393</v>
      </c>
      <c r="E21" s="19">
        <f t="shared" si="6"/>
        <v>2.5744937513164716</v>
      </c>
      <c r="F21" s="19">
        <f t="shared" si="6"/>
        <v>2.3766937267258377</v>
      </c>
      <c r="G21" s="19">
        <f t="shared" si="6"/>
        <v>2.2014855622867895</v>
      </c>
      <c r="H21" s="19">
        <f t="shared" si="6"/>
        <v>2.0827702753100796</v>
      </c>
      <c r="I21" s="19">
        <f t="shared" si="6"/>
        <v>2.0657404041544627</v>
      </c>
    </row>
    <row r="22" spans="1:9" x14ac:dyDescent="0.3">
      <c r="A22" t="s">
        <v>1</v>
      </c>
      <c r="B22" s="20">
        <f>IF(B9&gt;0,(0.000043*(B14^2) - 0.02154*(B14) +4.9538)," ")</f>
        <v>3.7524256644350462</v>
      </c>
      <c r="C22" s="20">
        <f t="shared" ref="C22:I22" si="7">IF(C9&gt;0,(0.000043*(C14^2) - 0.02154*(C14) +4.9538)," ")</f>
        <v>3.313076376850689</v>
      </c>
      <c r="D22" s="20">
        <f t="shared" si="7"/>
        <v>2.9142560860888449</v>
      </c>
      <c r="E22" s="20">
        <f t="shared" si="7"/>
        <v>2.6537480534109008</v>
      </c>
      <c r="F22" s="20">
        <f t="shared" si="7"/>
        <v>2.4585511203907684</v>
      </c>
      <c r="G22" s="20">
        <f t="shared" si="7"/>
        <v>2.3105254523149208</v>
      </c>
      <c r="H22" s="20">
        <f t="shared" si="7"/>
        <v>2.2566950409369819</v>
      </c>
      <c r="I22" s="20">
        <f t="shared" si="7"/>
        <v>2.3755804790369868</v>
      </c>
    </row>
    <row r="23" spans="1:9" x14ac:dyDescent="0.3">
      <c r="A23" t="s">
        <v>7</v>
      </c>
      <c r="B23" s="20">
        <f>IF(B9&gt;0,(IF((0.000031*(B14^2)-0.0176*(B14)+4.5523)*(0.0023*(B18)+0.9644)&lt;B22,B22,(0.000031*(B14^2)-0.0176*(B14)+4.5523)*(0.0023*(B18)+0.9644)))," ")</f>
        <v>3.7524256644350462</v>
      </c>
      <c r="C23" s="20">
        <f t="shared" ref="C23:I23" si="8">IF(C9&gt;0,(IF((0.000031*(C14^2)-0.0176*(C14)+4.5523)*(0.0023*(C18)+0.9644)&lt;C22,C22,(0.000031*(C14^2)-0.0176*(C14)+4.5523)*(0.0023*(C18)+0.9644)))," ")</f>
        <v>3.372742732045916</v>
      </c>
      <c r="D23" s="20">
        <f t="shared" si="8"/>
        <v>3.0918714563399674</v>
      </c>
      <c r="E23" s="20">
        <f t="shared" si="8"/>
        <v>2.8973352677315569</v>
      </c>
      <c r="F23" s="20">
        <f t="shared" si="8"/>
        <v>2.7430610647006257</v>
      </c>
      <c r="G23" s="20">
        <f t="shared" si="8"/>
        <v>2.6167958136121925</v>
      </c>
      <c r="H23" s="20">
        <f t="shared" si="8"/>
        <v>2.559516391328557</v>
      </c>
      <c r="I23" s="20">
        <f t="shared" si="8"/>
        <v>2.6454904485804129</v>
      </c>
    </row>
    <row r="25" spans="1:9" x14ac:dyDescent="0.3">
      <c r="A25" t="s">
        <v>13</v>
      </c>
      <c r="F25" s="6"/>
      <c r="G25" s="6"/>
      <c r="I25" s="7"/>
    </row>
    <row r="26" spans="1:9" x14ac:dyDescent="0.3">
      <c r="A26" t="s">
        <v>0</v>
      </c>
      <c r="B26" s="19">
        <f>IF(B$6&gt;0,(B21*(B$6*2.204622)/10000)," ")</f>
        <v>1.1727456709859421</v>
      </c>
      <c r="C26" s="19">
        <f t="shared" ref="C26:I26" si="9">IF(C$6&gt;0,(C21*(C$6*2.204622)/10000)," ")</f>
        <v>1.0478793019865451</v>
      </c>
      <c r="D26" s="19">
        <f t="shared" si="9"/>
        <v>0.93039482791275019</v>
      </c>
      <c r="E26" s="19">
        <f t="shared" si="9"/>
        <v>0.84958286086155332</v>
      </c>
      <c r="F26" s="19">
        <f t="shared" si="9"/>
        <v>0.78430885866820366</v>
      </c>
      <c r="G26" s="19">
        <f t="shared" si="9"/>
        <v>0.72649016964854241</v>
      </c>
      <c r="H26" s="19">
        <f t="shared" si="9"/>
        <v>0.68731412850021978</v>
      </c>
      <c r="I26" s="19">
        <f t="shared" si="9"/>
        <v>0.68176025817078667</v>
      </c>
    </row>
    <row r="27" spans="1:9" x14ac:dyDescent="0.3">
      <c r="A27" t="s">
        <v>1</v>
      </c>
      <c r="B27" s="19">
        <f>IF(B$6&gt;0,(B22*(B$6*2.204622)/10000)," ")</f>
        <v>1.2383003569268149</v>
      </c>
      <c r="C27" s="19">
        <f t="shared" ref="C27:I27" si="10">IF(C$6&gt;0,(C22*(C$6*2.204622)/10000)," ")</f>
        <v>1.0933151051768215</v>
      </c>
      <c r="D27" s="19">
        <f t="shared" si="10"/>
        <v>0.96170442116493671</v>
      </c>
      <c r="E27" s="19">
        <f t="shared" si="10"/>
        <v>0.87573677818007067</v>
      </c>
      <c r="F27" s="19">
        <f t="shared" si="10"/>
        <v>0.81132179612705757</v>
      </c>
      <c r="G27" s="19">
        <f t="shared" si="10"/>
        <v>0.76247333009348739</v>
      </c>
      <c r="H27" s="19">
        <f t="shared" si="10"/>
        <v>0.74470929595029411</v>
      </c>
      <c r="I27" s="19">
        <f t="shared" si="10"/>
        <v>0.78401737093226542</v>
      </c>
    </row>
    <row r="28" spans="1:9" x14ac:dyDescent="0.3">
      <c r="A28" t="s">
        <v>7</v>
      </c>
      <c r="B28" s="19">
        <f>IF(B$6&gt;0,(B23*(B$6*2.204622)/10000)," ")</f>
        <v>1.2383003569268149</v>
      </c>
      <c r="C28" s="19">
        <f t="shared" ref="C28:I28" si="11">IF(C$6&gt;0,(C23*(C$6*2.204622)/10000)," ")</f>
        <v>1.1130050006050087</v>
      </c>
      <c r="D28" s="19">
        <f t="shared" si="11"/>
        <v>1.0203174880305177</v>
      </c>
      <c r="E28" s="19">
        <f t="shared" si="11"/>
        <v>0.956120551613592</v>
      </c>
      <c r="F28" s="19">
        <f t="shared" si="11"/>
        <v>0.90521006923190728</v>
      </c>
      <c r="G28" s="19">
        <f t="shared" si="11"/>
        <v>0.86354254015274001</v>
      </c>
      <c r="H28" s="19">
        <f t="shared" si="11"/>
        <v>0.84464033251392012</v>
      </c>
      <c r="I28" s="19">
        <f t="shared" si="11"/>
        <v>0.87309627462641803</v>
      </c>
    </row>
    <row r="29" spans="1:9" x14ac:dyDescent="0.3">
      <c r="A29" t="s">
        <v>19</v>
      </c>
      <c r="B29" s="19">
        <f>IF(B$6&gt;0,AVERAGE(B26:B27)," ")</f>
        <v>1.2055230139563786</v>
      </c>
      <c r="C29" s="19">
        <f t="shared" ref="C29:I29" si="12">IF(C$6&gt;0,AVERAGE(C26:C27)," ")</f>
        <v>1.0705972035816833</v>
      </c>
      <c r="D29" s="19">
        <f t="shared" si="12"/>
        <v>0.94604962453884345</v>
      </c>
      <c r="E29" s="19">
        <f t="shared" si="12"/>
        <v>0.86265981952081194</v>
      </c>
      <c r="F29" s="19">
        <f t="shared" si="12"/>
        <v>0.79781532739763061</v>
      </c>
      <c r="G29" s="19">
        <f t="shared" si="12"/>
        <v>0.7444817498710149</v>
      </c>
      <c r="H29" s="19">
        <f t="shared" si="12"/>
        <v>0.71601171222525695</v>
      </c>
      <c r="I29" s="19">
        <f t="shared" si="12"/>
        <v>0.73288881455152599</v>
      </c>
    </row>
    <row r="30" spans="1:9" x14ac:dyDescent="0.3">
      <c r="A30" t="s">
        <v>18</v>
      </c>
      <c r="B30" s="19">
        <f>IF(B$6&gt;0,AVERAGE(B27:B28)," ")</f>
        <v>1.2383003569268149</v>
      </c>
      <c r="C30" s="19">
        <f t="shared" ref="C30:I30" si="13">IF(C$6&gt;0,AVERAGE(C27:C28)," ")</f>
        <v>1.1031600528909151</v>
      </c>
      <c r="D30" s="19">
        <f t="shared" si="13"/>
        <v>0.99101095459772726</v>
      </c>
      <c r="E30" s="19">
        <f t="shared" si="13"/>
        <v>0.91592866489683133</v>
      </c>
      <c r="F30" s="19">
        <f t="shared" si="13"/>
        <v>0.85826593267948237</v>
      </c>
      <c r="G30" s="19">
        <f t="shared" si="13"/>
        <v>0.81300793512311365</v>
      </c>
      <c r="H30" s="19">
        <f t="shared" si="13"/>
        <v>0.79467481423210717</v>
      </c>
      <c r="I30" s="19">
        <f t="shared" si="13"/>
        <v>0.82855682277934173</v>
      </c>
    </row>
    <row r="31" spans="1:9" hidden="1" x14ac:dyDescent="0.3">
      <c r="A31" s="17" t="s">
        <v>20</v>
      </c>
      <c r="B31" s="18">
        <f t="shared" ref="B31:I31" si="14">B23/B21</f>
        <v>1.0558984676411214</v>
      </c>
      <c r="C31" s="18">
        <f t="shared" si="14"/>
        <v>1.0621499999999999</v>
      </c>
      <c r="D31" s="18">
        <f t="shared" si="14"/>
        <v>1.0966500000000001</v>
      </c>
      <c r="E31" s="18">
        <f t="shared" si="14"/>
        <v>1.1254</v>
      </c>
      <c r="F31" s="18">
        <f t="shared" si="14"/>
        <v>1.15415</v>
      </c>
      <c r="G31" s="18">
        <f t="shared" si="14"/>
        <v>1.18865</v>
      </c>
      <c r="H31" s="18">
        <f t="shared" si="14"/>
        <v>1.2289000000000001</v>
      </c>
      <c r="I31" s="18">
        <f t="shared" si="14"/>
        <v>1.2806500000000001</v>
      </c>
    </row>
    <row r="34" spans="3:8" x14ac:dyDescent="0.3">
      <c r="C34" s="15"/>
    </row>
    <row r="36" spans="3:8" x14ac:dyDescent="0.3">
      <c r="H36" s="16"/>
    </row>
    <row r="38" spans="3:8" x14ac:dyDescent="0.3">
      <c r="F38" s="16"/>
    </row>
  </sheetData>
  <sheetProtection algorithmName="SHA-512" hashValue="lqshO2MWtmU+3eQmm+HAIDPtE+Dj/NVMhGNMXYwdw7FEC3+M1Wi2I5r84+0oBsGc0cY+eHcNVqLNEtJMzY11LQ==" saltValue="WPErZfVaBni8ZMeFS+Yh8Q==" spinCount="100000" sheet="1" objects="1" scenarios="1"/>
  <dataValidations count="1">
    <dataValidation type="decimal" errorStyle="warning" allowBlank="1" showInputMessage="1" showErrorMessage="1" error="This calculator is based on data between 50 and 330 lb. It is not recommended to use for body weight outside of this range." sqref="B9:I10" xr:uid="{91FC4DD5-F3F2-4030-97FF-6EE4131B3765}">
      <formula1>50</formula1>
      <formula2>330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showGridLines="0" showRowColHeaders="0" zoomScale="120" zoomScaleNormal="120" workbookViewId="0">
      <selection activeCell="B6" sqref="B6"/>
    </sheetView>
  </sheetViews>
  <sheetFormatPr defaultRowHeight="14.4" x14ac:dyDescent="0.3"/>
  <cols>
    <col min="1" max="1" width="27" customWidth="1"/>
    <col min="2" max="6" width="9.33203125" style="1" customWidth="1"/>
    <col min="7" max="9" width="9.33203125" customWidth="1"/>
  </cols>
  <sheetData>
    <row r="1" spans="1:9" s="9" customFormat="1" ht="24" customHeight="1" x14ac:dyDescent="0.3">
      <c r="B1" s="10"/>
      <c r="C1" s="10"/>
      <c r="D1" s="10"/>
      <c r="E1" s="10"/>
      <c r="F1" s="10"/>
    </row>
    <row r="2" spans="1:9" s="9" customFormat="1" ht="24" customHeight="1" x14ac:dyDescent="0.3">
      <c r="B2" s="10"/>
      <c r="C2" s="10"/>
      <c r="D2" s="10"/>
      <c r="E2" s="10"/>
      <c r="F2" s="10"/>
    </row>
    <row r="3" spans="1:9" s="9" customFormat="1" ht="10.199999999999999" customHeight="1" x14ac:dyDescent="0.3">
      <c r="B3" s="10"/>
      <c r="C3" s="10"/>
      <c r="D3" s="10"/>
      <c r="E3" s="10"/>
      <c r="F3" s="10"/>
    </row>
    <row r="4" spans="1:9" s="9" customFormat="1" ht="10.199999999999999" customHeight="1" x14ac:dyDescent="0.3">
      <c r="B4" s="10"/>
      <c r="C4" s="10"/>
      <c r="D4" s="10"/>
      <c r="E4" s="10"/>
      <c r="F4" s="10"/>
    </row>
    <row r="5" spans="1:9" x14ac:dyDescent="0.3">
      <c r="A5" s="2"/>
      <c r="G5" s="1"/>
    </row>
    <row r="6" spans="1:9" x14ac:dyDescent="0.3">
      <c r="A6" t="s">
        <v>8</v>
      </c>
      <c r="B6" s="11">
        <v>3299.9997006289786</v>
      </c>
      <c r="C6" s="11">
        <v>3299.9997006289786</v>
      </c>
      <c r="D6" s="11">
        <v>3299.9997006289786</v>
      </c>
      <c r="E6" s="11">
        <v>3299.9997006289786</v>
      </c>
      <c r="F6" s="11">
        <v>3299.9997006289786</v>
      </c>
      <c r="G6" s="11">
        <v>3299.9997006289786</v>
      </c>
      <c r="H6" s="11">
        <v>3299.9997006289786</v>
      </c>
      <c r="I6" s="11">
        <v>3300.3191340000003</v>
      </c>
    </row>
    <row r="7" spans="1:9" hidden="1" x14ac:dyDescent="0.3">
      <c r="B7" s="13"/>
      <c r="C7" s="13"/>
      <c r="D7" s="13"/>
      <c r="E7" s="13"/>
      <c r="F7" s="13"/>
      <c r="G7" s="13"/>
      <c r="H7" s="13"/>
      <c r="I7" s="13"/>
    </row>
    <row r="8" spans="1:9" hidden="1" x14ac:dyDescent="0.3">
      <c r="B8" s="12"/>
      <c r="C8" s="12"/>
      <c r="D8" s="12"/>
      <c r="E8" s="12"/>
      <c r="F8" s="12"/>
      <c r="G8" s="12"/>
      <c r="H8" s="13"/>
      <c r="I8" s="13"/>
    </row>
    <row r="9" spans="1:9" x14ac:dyDescent="0.3">
      <c r="A9" t="s">
        <v>3</v>
      </c>
      <c r="B9" s="11">
        <v>23</v>
      </c>
      <c r="C9" s="11">
        <v>35</v>
      </c>
      <c r="D9" s="11">
        <v>50</v>
      </c>
      <c r="E9" s="11">
        <v>65</v>
      </c>
      <c r="F9" s="11">
        <v>75</v>
      </c>
      <c r="G9" s="11">
        <v>90</v>
      </c>
      <c r="H9" s="11">
        <v>105</v>
      </c>
      <c r="I9" s="11">
        <v>125</v>
      </c>
    </row>
    <row r="10" spans="1:9" x14ac:dyDescent="0.3">
      <c r="A10" t="s">
        <v>4</v>
      </c>
      <c r="B10" s="11">
        <v>35</v>
      </c>
      <c r="C10" s="11">
        <v>50</v>
      </c>
      <c r="D10" s="11">
        <v>65</v>
      </c>
      <c r="E10" s="11">
        <v>75</v>
      </c>
      <c r="F10" s="11">
        <v>90</v>
      </c>
      <c r="G10" s="11">
        <v>105</v>
      </c>
      <c r="H10" s="11">
        <v>125</v>
      </c>
      <c r="I10" s="11">
        <v>150</v>
      </c>
    </row>
    <row r="11" spans="1:9" x14ac:dyDescent="0.3">
      <c r="G11" s="1"/>
    </row>
    <row r="12" spans="1:9" hidden="1" x14ac:dyDescent="0.3">
      <c r="A12" t="s">
        <v>6</v>
      </c>
      <c r="B12" s="8">
        <f>IF(B9&gt;0,CONVERT(B9*1000,"g","lbm")," ")</f>
        <v>50.706320302521839</v>
      </c>
      <c r="C12" s="8">
        <f t="shared" ref="C12:I12" si="0">IF(C9&gt;0,CONVERT(C9*1000,"g","lbm")," ")</f>
        <v>77.161791764707147</v>
      </c>
      <c r="D12" s="8">
        <f t="shared" si="0"/>
        <v>110.23113109243879</v>
      </c>
      <c r="E12" s="8">
        <f t="shared" si="0"/>
        <v>143.30047042017043</v>
      </c>
      <c r="F12" s="8">
        <f t="shared" si="0"/>
        <v>165.34669663865819</v>
      </c>
      <c r="G12" s="8">
        <f t="shared" si="0"/>
        <v>198.41603596638981</v>
      </c>
      <c r="H12" s="8">
        <f t="shared" si="0"/>
        <v>231.48537529412144</v>
      </c>
      <c r="I12" s="8">
        <f t="shared" si="0"/>
        <v>275.57782773109699</v>
      </c>
    </row>
    <row r="13" spans="1:9" hidden="1" x14ac:dyDescent="0.3">
      <c r="A13" t="s">
        <v>5</v>
      </c>
      <c r="B13" s="8">
        <f>IF(B10&gt;0,CONVERT(B10*1000,"g","lbm")," ")</f>
        <v>77.161791764707147</v>
      </c>
      <c r="C13" s="8">
        <f t="shared" ref="C13:I13" si="1">IF(C10&gt;0,CONVERT(C10*1000,"g","lbm")," ")</f>
        <v>110.23113109243879</v>
      </c>
      <c r="D13" s="8">
        <f t="shared" si="1"/>
        <v>143.30047042017043</v>
      </c>
      <c r="E13" s="8">
        <f t="shared" si="1"/>
        <v>165.34669663865819</v>
      </c>
      <c r="F13" s="8">
        <f t="shared" si="1"/>
        <v>198.41603596638981</v>
      </c>
      <c r="G13" s="8">
        <f t="shared" si="1"/>
        <v>231.48537529412144</v>
      </c>
      <c r="H13" s="8">
        <f t="shared" si="1"/>
        <v>275.57782773109699</v>
      </c>
      <c r="I13" s="8">
        <f t="shared" si="1"/>
        <v>330.69339327731637</v>
      </c>
    </row>
    <row r="14" spans="1:9" hidden="1" x14ac:dyDescent="0.3">
      <c r="B14" s="3">
        <f>IF(B12&gt;0,AVERAGE(B12:B13)," ")</f>
        <v>63.934056033614496</v>
      </c>
      <c r="C14" s="3">
        <f t="shared" ref="C14:G14" si="2">AVERAGE(C12:C13)</f>
        <v>93.696461428572974</v>
      </c>
      <c r="D14" s="3">
        <f t="shared" si="2"/>
        <v>126.7658007563046</v>
      </c>
      <c r="E14" s="3">
        <f t="shared" si="2"/>
        <v>154.32358352941429</v>
      </c>
      <c r="F14" s="3">
        <f t="shared" si="2"/>
        <v>181.88136630252399</v>
      </c>
      <c r="G14" s="3">
        <f t="shared" si="2"/>
        <v>214.95070563025564</v>
      </c>
      <c r="H14" s="3">
        <f t="shared" ref="H14:I14" si="3">AVERAGE(H12:H13)</f>
        <v>253.5316015126092</v>
      </c>
      <c r="I14" s="3">
        <f t="shared" si="3"/>
        <v>303.13561050420668</v>
      </c>
    </row>
    <row r="15" spans="1:9" hidden="1" x14ac:dyDescent="0.3">
      <c r="B15" s="3"/>
      <c r="C15" s="3"/>
      <c r="D15" s="3"/>
      <c r="E15" s="3"/>
      <c r="F15" s="5"/>
      <c r="G15" s="6"/>
      <c r="I15" s="7"/>
    </row>
    <row r="16" spans="1:9" hidden="1" x14ac:dyDescent="0.3">
      <c r="A16" t="s">
        <v>3</v>
      </c>
      <c r="B16" s="8">
        <f>IF(B9&gt;0,B9," ")</f>
        <v>23</v>
      </c>
      <c r="C16" s="8">
        <f t="shared" ref="C16:G16" si="4">IF(C9&gt;0,C9," ")</f>
        <v>35</v>
      </c>
      <c r="D16" s="8">
        <f t="shared" si="4"/>
        <v>50</v>
      </c>
      <c r="E16" s="8">
        <f t="shared" si="4"/>
        <v>65</v>
      </c>
      <c r="F16" s="8">
        <f t="shared" si="4"/>
        <v>75</v>
      </c>
      <c r="G16" s="8">
        <f t="shared" si="4"/>
        <v>90</v>
      </c>
      <c r="H16" s="8">
        <f t="shared" ref="H16:I16" si="5">IF(H9&gt;0,H9," ")</f>
        <v>105</v>
      </c>
      <c r="I16" s="8">
        <f t="shared" si="5"/>
        <v>125</v>
      </c>
    </row>
    <row r="17" spans="1:9" hidden="1" x14ac:dyDescent="0.3">
      <c r="A17" t="s">
        <v>4</v>
      </c>
      <c r="B17" s="8">
        <f>IF(B10&gt;0,B10," ")</f>
        <v>35</v>
      </c>
      <c r="C17" s="8">
        <f t="shared" ref="C17:G17" si="6">IF(C10&gt;0,C10," ")</f>
        <v>50</v>
      </c>
      <c r="D17" s="8">
        <f t="shared" si="6"/>
        <v>65</v>
      </c>
      <c r="E17" s="8">
        <f t="shared" si="6"/>
        <v>75</v>
      </c>
      <c r="F17" s="8">
        <f t="shared" si="6"/>
        <v>90</v>
      </c>
      <c r="G17" s="8">
        <f t="shared" si="6"/>
        <v>105</v>
      </c>
      <c r="H17" s="8">
        <f t="shared" ref="H17:I17" si="7">IF(H10&gt;0,H10," ")</f>
        <v>125</v>
      </c>
      <c r="I17" s="8">
        <f t="shared" si="7"/>
        <v>150</v>
      </c>
    </row>
    <row r="18" spans="1:9" hidden="1" x14ac:dyDescent="0.3">
      <c r="B18" s="3">
        <f>IF(B16&gt;0,AVERAGE(B16:B17)," ")</f>
        <v>29</v>
      </c>
      <c r="C18" s="3">
        <f t="shared" ref="C18:G18" si="8">IF(C16&gt;0,AVERAGE(C16:C17)," ")</f>
        <v>42.5</v>
      </c>
      <c r="D18" s="3">
        <f t="shared" si="8"/>
        <v>57.5</v>
      </c>
      <c r="E18" s="3">
        <f t="shared" si="8"/>
        <v>70</v>
      </c>
      <c r="F18" s="3">
        <f t="shared" si="8"/>
        <v>82.5</v>
      </c>
      <c r="G18" s="3">
        <f t="shared" si="8"/>
        <v>97.5</v>
      </c>
      <c r="H18" s="3">
        <f t="shared" ref="H18" si="9">IF(H16&gt;0,AVERAGE(H16:H17)," ")</f>
        <v>115</v>
      </c>
      <c r="I18" s="3">
        <f>IF(I16&gt;0,AVERAGE(I16:I17)," ")</f>
        <v>137.5</v>
      </c>
    </row>
    <row r="19" spans="1:9" hidden="1" x14ac:dyDescent="0.3">
      <c r="B19" s="3"/>
      <c r="C19" s="3"/>
      <c r="D19" s="3"/>
      <c r="E19" s="3"/>
      <c r="F19" s="5"/>
      <c r="G19" s="6"/>
      <c r="I19" s="7"/>
    </row>
    <row r="20" spans="1:9" x14ac:dyDescent="0.3">
      <c r="A20" t="s">
        <v>14</v>
      </c>
      <c r="F20" s="6"/>
      <c r="G20" s="6"/>
      <c r="I20" s="7"/>
    </row>
    <row r="21" spans="1:9" x14ac:dyDescent="0.3">
      <c r="A21" t="s">
        <v>0</v>
      </c>
      <c r="B21" s="19">
        <f>IF(B9&gt;0,(0.000031*(B14^2) - 0.0176*(B14) +4.5523)," ")</f>
        <v>3.5537750829565748</v>
      </c>
      <c r="C21" s="19">
        <f t="shared" ref="C21:I21" si="10">IF(C9&gt;0,(0.000031*(C14^2) - 0.0176*(C14) +4.5523)," ")</f>
        <v>3.1753921122684332</v>
      </c>
      <c r="D21" s="19">
        <f t="shared" si="10"/>
        <v>2.8193785221720393</v>
      </c>
      <c r="E21" s="19">
        <f t="shared" si="10"/>
        <v>2.5744937513164716</v>
      </c>
      <c r="F21" s="19">
        <f t="shared" si="10"/>
        <v>2.3766937267258377</v>
      </c>
      <c r="G21" s="19">
        <f t="shared" si="10"/>
        <v>2.2014855622867895</v>
      </c>
      <c r="H21" s="19">
        <f t="shared" si="10"/>
        <v>2.0827702753100796</v>
      </c>
      <c r="I21" s="19">
        <f t="shared" si="10"/>
        <v>2.0657404041544627</v>
      </c>
    </row>
    <row r="22" spans="1:9" x14ac:dyDescent="0.3">
      <c r="A22" t="s">
        <v>1</v>
      </c>
      <c r="B22" s="20">
        <f>IF(B9&gt;0,(0.000043*(B14^2) - 0.02154*(B14) +4.9538)," ")</f>
        <v>3.7524256644350462</v>
      </c>
      <c r="C22" s="20">
        <f t="shared" ref="C22:I22" si="11">IF(C9&gt;0,(0.000043*(C14^2) - 0.02154*(C14) +4.9538)," ")</f>
        <v>3.313076376850689</v>
      </c>
      <c r="D22" s="20">
        <f t="shared" si="11"/>
        <v>2.9142560860888449</v>
      </c>
      <c r="E22" s="20">
        <f t="shared" si="11"/>
        <v>2.6537480534109008</v>
      </c>
      <c r="F22" s="20">
        <f t="shared" si="11"/>
        <v>2.4585511203907684</v>
      </c>
      <c r="G22" s="20">
        <f t="shared" si="11"/>
        <v>2.3105254523149208</v>
      </c>
      <c r="H22" s="20">
        <f t="shared" si="11"/>
        <v>2.2566950409369819</v>
      </c>
      <c r="I22" s="20">
        <f t="shared" si="11"/>
        <v>2.3755804790369868</v>
      </c>
    </row>
    <row r="23" spans="1:9" x14ac:dyDescent="0.3">
      <c r="A23" t="s">
        <v>7</v>
      </c>
      <c r="B23" s="20">
        <f>IF(B9&gt;0,(IF((0.000031*(B14^2)-0.0176*(B14)+4.5523)*(0.0023*(B18)+0.9644)&lt;B22,B22,(0.000031*(B14^2)-0.0176*(B14)+4.5523)*(0.0023*(B18)+0.9644)))," ")</f>
        <v>3.7524256644350462</v>
      </c>
      <c r="C23" s="20">
        <f t="shared" ref="C23:I23" si="12">IF(C9&gt;0,(IF((0.000031*(C14^2)-0.0176*(C14)+4.5523)*(0.0023*(C18)+0.9644)&lt;C22,C22,(0.000031*(C14^2)-0.0176*(C14)+4.5523)*(0.0023*(C18)+0.9644)))," ")</f>
        <v>3.372742732045916</v>
      </c>
      <c r="D23" s="20">
        <f t="shared" si="12"/>
        <v>3.0918714563399674</v>
      </c>
      <c r="E23" s="20">
        <f t="shared" si="12"/>
        <v>2.8973352677315569</v>
      </c>
      <c r="F23" s="20">
        <f t="shared" si="12"/>
        <v>2.7430610647006257</v>
      </c>
      <c r="G23" s="20">
        <f t="shared" si="12"/>
        <v>2.6167958136121925</v>
      </c>
      <c r="H23" s="20">
        <f t="shared" si="12"/>
        <v>2.559516391328557</v>
      </c>
      <c r="I23" s="20">
        <f t="shared" si="12"/>
        <v>2.6454904485804129</v>
      </c>
    </row>
    <row r="25" spans="1:9" x14ac:dyDescent="0.3">
      <c r="A25" t="s">
        <v>13</v>
      </c>
      <c r="F25" s="6"/>
      <c r="G25" s="6"/>
      <c r="I25" s="7"/>
    </row>
    <row r="26" spans="1:9" x14ac:dyDescent="0.3">
      <c r="A26" t="s">
        <v>0</v>
      </c>
      <c r="B26" s="19">
        <f>IF(B$6&gt;0,(B21*(B$6)/10000)," ")</f>
        <v>1.1727456709859421</v>
      </c>
      <c r="C26" s="19">
        <f t="shared" ref="C26:H26" si="13">IF(C$6&gt;0,(C21*(C$6)/10000)," ")</f>
        <v>1.0478793019865451</v>
      </c>
      <c r="D26" s="19">
        <f t="shared" si="13"/>
        <v>0.93039482791275019</v>
      </c>
      <c r="E26" s="19">
        <f t="shared" si="13"/>
        <v>0.84958286086155332</v>
      </c>
      <c r="F26" s="19">
        <f t="shared" si="13"/>
        <v>0.78430885866820366</v>
      </c>
      <c r="G26" s="19">
        <f t="shared" si="13"/>
        <v>0.72649016964854241</v>
      </c>
      <c r="H26" s="19">
        <f t="shared" si="13"/>
        <v>0.68731412850021978</v>
      </c>
      <c r="I26" s="19">
        <f t="shared" ref="I26" si="14">IF(I$6&gt;0,(I21*(I$6)/10000)," ")</f>
        <v>0.68176025817078667</v>
      </c>
    </row>
    <row r="27" spans="1:9" x14ac:dyDescent="0.3">
      <c r="A27" t="s">
        <v>1</v>
      </c>
      <c r="B27" s="19">
        <f t="shared" ref="B27:H28" si="15">IF(B$6&gt;0,(B22*(B$6)/10000)," ")</f>
        <v>1.2383003569268149</v>
      </c>
      <c r="C27" s="19">
        <f t="shared" si="15"/>
        <v>1.0933151051768215</v>
      </c>
      <c r="D27" s="19">
        <f t="shared" si="15"/>
        <v>0.96170442116493671</v>
      </c>
      <c r="E27" s="19">
        <f t="shared" si="15"/>
        <v>0.87573677818007067</v>
      </c>
      <c r="F27" s="19">
        <f t="shared" si="15"/>
        <v>0.81132179612705757</v>
      </c>
      <c r="G27" s="19">
        <f t="shared" si="15"/>
        <v>0.76247333009348739</v>
      </c>
      <c r="H27" s="19">
        <f t="shared" si="15"/>
        <v>0.74470929595029411</v>
      </c>
      <c r="I27" s="19">
        <f t="shared" ref="I27" si="16">IF(I$6&gt;0,(I22*(I$6)/10000)," ")</f>
        <v>0.78401737093226542</v>
      </c>
    </row>
    <row r="28" spans="1:9" x14ac:dyDescent="0.3">
      <c r="A28" t="s">
        <v>7</v>
      </c>
      <c r="B28" s="19">
        <f t="shared" si="15"/>
        <v>1.2383003569268149</v>
      </c>
      <c r="C28" s="19">
        <f t="shared" si="15"/>
        <v>1.1130050006050087</v>
      </c>
      <c r="D28" s="19">
        <f t="shared" si="15"/>
        <v>1.0203174880305177</v>
      </c>
      <c r="E28" s="19">
        <f t="shared" si="15"/>
        <v>0.956120551613592</v>
      </c>
      <c r="F28" s="19">
        <f t="shared" si="15"/>
        <v>0.90521006923190728</v>
      </c>
      <c r="G28" s="19">
        <f t="shared" si="15"/>
        <v>0.86354254015274001</v>
      </c>
      <c r="H28" s="19">
        <f t="shared" si="15"/>
        <v>0.84464033251392012</v>
      </c>
      <c r="I28" s="19">
        <f t="shared" ref="I28" si="17">IF(I$6&gt;0,(I23*(I$6)/10000)," ")</f>
        <v>0.87309627462641803</v>
      </c>
    </row>
    <row r="29" spans="1:9" x14ac:dyDescent="0.3">
      <c r="A29" t="s">
        <v>19</v>
      </c>
      <c r="B29" s="19">
        <f>IF(B$6&gt;0,AVERAGE(B26:B27)," ")</f>
        <v>1.2055230139563786</v>
      </c>
      <c r="C29" s="19">
        <f t="shared" ref="C29:I29" si="18">IF(C$6&gt;0,AVERAGE(C26:C27)," ")</f>
        <v>1.0705972035816833</v>
      </c>
      <c r="D29" s="19">
        <f t="shared" si="18"/>
        <v>0.94604962453884345</v>
      </c>
      <c r="E29" s="19">
        <f t="shared" si="18"/>
        <v>0.86265981952081194</v>
      </c>
      <c r="F29" s="19">
        <f t="shared" si="18"/>
        <v>0.79781532739763061</v>
      </c>
      <c r="G29" s="19">
        <f t="shared" si="18"/>
        <v>0.7444817498710149</v>
      </c>
      <c r="H29" s="19">
        <f t="shared" si="18"/>
        <v>0.71601171222525695</v>
      </c>
      <c r="I29" s="19">
        <f t="shared" si="18"/>
        <v>0.73288881455152599</v>
      </c>
    </row>
    <row r="30" spans="1:9" x14ac:dyDescent="0.3">
      <c r="A30" t="s">
        <v>18</v>
      </c>
      <c r="B30" s="19">
        <f>IF(B$6&gt;0,AVERAGE(B27:B28)," ")</f>
        <v>1.2383003569268149</v>
      </c>
      <c r="C30" s="19">
        <f t="shared" ref="C30:I30" si="19">IF(C$6&gt;0,AVERAGE(C27:C28)," ")</f>
        <v>1.1031600528909151</v>
      </c>
      <c r="D30" s="19">
        <f t="shared" si="19"/>
        <v>0.99101095459772726</v>
      </c>
      <c r="E30" s="19">
        <f t="shared" si="19"/>
        <v>0.91592866489683133</v>
      </c>
      <c r="F30" s="19">
        <f t="shared" si="19"/>
        <v>0.85826593267948237</v>
      </c>
      <c r="G30" s="19">
        <f t="shared" si="19"/>
        <v>0.81300793512311365</v>
      </c>
      <c r="H30" s="19">
        <f t="shared" si="19"/>
        <v>0.79467481423210717</v>
      </c>
      <c r="I30" s="19">
        <f t="shared" si="19"/>
        <v>0.82855682277934173</v>
      </c>
    </row>
    <row r="31" spans="1:9" hidden="1" x14ac:dyDescent="0.3">
      <c r="A31" s="17" t="s">
        <v>20</v>
      </c>
      <c r="B31" s="18">
        <f t="shared" ref="B31:I31" si="20">B23/B21</f>
        <v>1.0558984676411214</v>
      </c>
      <c r="C31" s="18">
        <f t="shared" si="20"/>
        <v>1.0621499999999999</v>
      </c>
      <c r="D31" s="18">
        <f t="shared" si="20"/>
        <v>1.0966500000000001</v>
      </c>
      <c r="E31" s="18">
        <f t="shared" si="20"/>
        <v>1.1254</v>
      </c>
      <c r="F31" s="18">
        <f t="shared" si="20"/>
        <v>1.15415</v>
      </c>
      <c r="G31" s="18">
        <f t="shared" si="20"/>
        <v>1.18865</v>
      </c>
      <c r="H31" s="18">
        <f t="shared" si="20"/>
        <v>1.2289000000000001</v>
      </c>
      <c r="I31" s="18">
        <f t="shared" si="20"/>
        <v>1.2806500000000001</v>
      </c>
    </row>
    <row r="34" spans="3:8" x14ac:dyDescent="0.3">
      <c r="C34" s="15"/>
    </row>
    <row r="36" spans="3:8" x14ac:dyDescent="0.3">
      <c r="H36" s="16"/>
    </row>
    <row r="38" spans="3:8" x14ac:dyDescent="0.3">
      <c r="F38" s="16"/>
    </row>
  </sheetData>
  <sheetProtection algorithmName="SHA-512" hashValue="F4zgrwDa840hfig8Tak+tZOLMbFIOiGix3jkLy9AfDjw2sP3BZd2szKsYUQa0c6DDpZsia6C2N6C44QJH4dhmw==" saltValue="am2qZMBa/QJEjOoDiL70cA==" spinCount="100000" sheet="1" objects="1" scenarios="1"/>
  <dataValidations disablePrompts="1" count="1">
    <dataValidation type="decimal" errorStyle="warning" allowBlank="1" showInputMessage="1" showErrorMessage="1" error="This calculator is based on data between 23 and 150 kg. It is not recommended to use for body weight outside of this range." sqref="B9:I10" xr:uid="{B3115BE8-5E31-4CA9-9369-CFD925538335}">
      <formula1>23</formula1>
      <formula2>150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9ED7-8853-4A9A-B4DD-53D692701D30}">
  <dimension ref="A1:I38"/>
  <sheetViews>
    <sheetView showGridLines="0" showRowColHeaders="0" zoomScale="120" zoomScaleNormal="120" workbookViewId="0">
      <selection activeCell="B6" sqref="B6"/>
    </sheetView>
  </sheetViews>
  <sheetFormatPr defaultRowHeight="14.4" x14ac:dyDescent="0.3"/>
  <cols>
    <col min="1" max="1" width="27" customWidth="1"/>
    <col min="2" max="6" width="9.33203125" style="1" customWidth="1"/>
    <col min="7" max="9" width="9.33203125" customWidth="1"/>
  </cols>
  <sheetData>
    <row r="1" spans="1:9" s="9" customFormat="1" ht="24" customHeight="1" x14ac:dyDescent="0.3">
      <c r="B1" s="10"/>
      <c r="C1" s="10"/>
      <c r="D1" s="10"/>
      <c r="E1" s="10"/>
      <c r="F1" s="10"/>
    </row>
    <row r="2" spans="1:9" s="9" customFormat="1" ht="24" customHeight="1" x14ac:dyDescent="0.3">
      <c r="B2" s="10"/>
      <c r="C2" s="10"/>
      <c r="D2" s="10"/>
      <c r="E2" s="10"/>
      <c r="F2" s="10"/>
    </row>
    <row r="3" spans="1:9" s="9" customFormat="1" ht="10.199999999999999" customHeight="1" x14ac:dyDescent="0.3">
      <c r="B3" s="10"/>
      <c r="C3" s="10"/>
      <c r="D3" s="10"/>
      <c r="E3" s="10"/>
      <c r="F3" s="10"/>
    </row>
    <row r="4" spans="1:9" s="9" customFormat="1" ht="10.199999999999999" customHeight="1" x14ac:dyDescent="0.3">
      <c r="B4" s="10"/>
      <c r="C4" s="10"/>
      <c r="D4" s="10"/>
      <c r="E4" s="10"/>
      <c r="F4" s="10"/>
    </row>
    <row r="5" spans="1:9" x14ac:dyDescent="0.3">
      <c r="A5" s="2"/>
      <c r="G5" s="1"/>
    </row>
    <row r="6" spans="1:9" x14ac:dyDescent="0.3">
      <c r="A6" t="s">
        <v>9</v>
      </c>
      <c r="B6" s="11">
        <v>2441.9997784654443</v>
      </c>
      <c r="C6" s="11">
        <v>2441.9997784654443</v>
      </c>
      <c r="D6" s="11">
        <v>2441.9997784654443</v>
      </c>
      <c r="E6" s="11">
        <v>2441.9997784654443</v>
      </c>
      <c r="F6" s="11">
        <v>2441.9997784654443</v>
      </c>
      <c r="G6" s="11">
        <v>2441.9997784654443</v>
      </c>
      <c r="H6" s="11">
        <v>2441.9997784654443</v>
      </c>
      <c r="I6" s="11">
        <v>2442.2361591600002</v>
      </c>
    </row>
    <row r="7" spans="1:9" hidden="1" x14ac:dyDescent="0.3">
      <c r="B7" s="13"/>
      <c r="C7" s="13"/>
      <c r="D7" s="13"/>
      <c r="E7" s="13"/>
      <c r="F7" s="13"/>
      <c r="G7" s="13"/>
      <c r="H7" s="13"/>
      <c r="I7" s="13"/>
    </row>
    <row r="8" spans="1:9" hidden="1" x14ac:dyDescent="0.3">
      <c r="B8" s="12"/>
      <c r="C8" s="12"/>
      <c r="D8" s="12"/>
      <c r="E8" s="12"/>
      <c r="F8" s="12"/>
      <c r="G8" s="12"/>
      <c r="H8" s="13"/>
      <c r="I8" s="13"/>
    </row>
    <row r="9" spans="1:9" x14ac:dyDescent="0.3">
      <c r="A9" t="s">
        <v>3</v>
      </c>
      <c r="B9" s="11">
        <v>23</v>
      </c>
      <c r="C9" s="11">
        <v>35</v>
      </c>
      <c r="D9" s="11">
        <v>50</v>
      </c>
      <c r="E9" s="11">
        <v>65</v>
      </c>
      <c r="F9" s="11">
        <v>75</v>
      </c>
      <c r="G9" s="11">
        <v>90</v>
      </c>
      <c r="H9" s="11">
        <v>105</v>
      </c>
      <c r="I9" s="11">
        <v>125</v>
      </c>
    </row>
    <row r="10" spans="1:9" x14ac:dyDescent="0.3">
      <c r="A10" t="s">
        <v>4</v>
      </c>
      <c r="B10" s="11">
        <v>35</v>
      </c>
      <c r="C10" s="11">
        <v>50</v>
      </c>
      <c r="D10" s="11">
        <v>65</v>
      </c>
      <c r="E10" s="11">
        <v>75</v>
      </c>
      <c r="F10" s="11">
        <v>90</v>
      </c>
      <c r="G10" s="11">
        <v>105</v>
      </c>
      <c r="H10" s="11">
        <v>125</v>
      </c>
      <c r="I10" s="11">
        <v>150</v>
      </c>
    </row>
    <row r="11" spans="1:9" x14ac:dyDescent="0.3">
      <c r="G11" s="1"/>
    </row>
    <row r="12" spans="1:9" hidden="1" x14ac:dyDescent="0.3">
      <c r="A12" t="s">
        <v>6</v>
      </c>
      <c r="B12" s="8">
        <f>IF(B9&gt;0,CONVERT(B9*1000,"g","lbm")," ")</f>
        <v>50.706320302521839</v>
      </c>
      <c r="C12" s="8">
        <f t="shared" ref="C12:I13" si="0">IF(C9&gt;0,CONVERT(C9*1000,"g","lbm")," ")</f>
        <v>77.161791764707147</v>
      </c>
      <c r="D12" s="8">
        <f t="shared" si="0"/>
        <v>110.23113109243879</v>
      </c>
      <c r="E12" s="8">
        <f t="shared" si="0"/>
        <v>143.30047042017043</v>
      </c>
      <c r="F12" s="8">
        <f t="shared" si="0"/>
        <v>165.34669663865819</v>
      </c>
      <c r="G12" s="8">
        <f t="shared" si="0"/>
        <v>198.41603596638981</v>
      </c>
      <c r="H12" s="8">
        <f t="shared" si="0"/>
        <v>231.48537529412144</v>
      </c>
      <c r="I12" s="8">
        <f t="shared" si="0"/>
        <v>275.57782773109699</v>
      </c>
    </row>
    <row r="13" spans="1:9" hidden="1" x14ac:dyDescent="0.3">
      <c r="A13" t="s">
        <v>5</v>
      </c>
      <c r="B13" s="8">
        <f>IF(B10&gt;0,CONVERT(B10*1000,"g","lbm")," ")</f>
        <v>77.161791764707147</v>
      </c>
      <c r="C13" s="8">
        <f t="shared" si="0"/>
        <v>110.23113109243879</v>
      </c>
      <c r="D13" s="8">
        <f t="shared" si="0"/>
        <v>143.30047042017043</v>
      </c>
      <c r="E13" s="8">
        <f t="shared" si="0"/>
        <v>165.34669663865819</v>
      </c>
      <c r="F13" s="8">
        <f t="shared" si="0"/>
        <v>198.41603596638981</v>
      </c>
      <c r="G13" s="8">
        <f t="shared" si="0"/>
        <v>231.48537529412144</v>
      </c>
      <c r="H13" s="8">
        <f t="shared" si="0"/>
        <v>275.57782773109699</v>
      </c>
      <c r="I13" s="8">
        <f t="shared" si="0"/>
        <v>330.69339327731637</v>
      </c>
    </row>
    <row r="14" spans="1:9" hidden="1" x14ac:dyDescent="0.3">
      <c r="B14" s="3">
        <f>IF(B12&gt;0,AVERAGE(B12:B13)," ")</f>
        <v>63.934056033614496</v>
      </c>
      <c r="C14" s="3">
        <f t="shared" ref="C14:I14" si="1">AVERAGE(C12:C13)</f>
        <v>93.696461428572974</v>
      </c>
      <c r="D14" s="3">
        <f t="shared" si="1"/>
        <v>126.7658007563046</v>
      </c>
      <c r="E14" s="3">
        <f t="shared" si="1"/>
        <v>154.32358352941429</v>
      </c>
      <c r="F14" s="3">
        <f t="shared" si="1"/>
        <v>181.88136630252399</v>
      </c>
      <c r="G14" s="3">
        <f t="shared" si="1"/>
        <v>214.95070563025564</v>
      </c>
      <c r="H14" s="3">
        <f t="shared" si="1"/>
        <v>253.5316015126092</v>
      </c>
      <c r="I14" s="3">
        <f t="shared" si="1"/>
        <v>303.13561050420668</v>
      </c>
    </row>
    <row r="15" spans="1:9" hidden="1" x14ac:dyDescent="0.3">
      <c r="B15" s="3"/>
      <c r="C15" s="3"/>
      <c r="D15" s="3"/>
      <c r="E15" s="3"/>
      <c r="F15" s="5"/>
      <c r="G15" s="6"/>
      <c r="I15" s="7"/>
    </row>
    <row r="16" spans="1:9" hidden="1" x14ac:dyDescent="0.3">
      <c r="A16" t="s">
        <v>3</v>
      </c>
      <c r="B16" s="8">
        <f>IF(B9&gt;0,B9," ")</f>
        <v>23</v>
      </c>
      <c r="C16" s="8">
        <f t="shared" ref="C16:I17" si="2">IF(C9&gt;0,C9," ")</f>
        <v>35</v>
      </c>
      <c r="D16" s="8">
        <f t="shared" si="2"/>
        <v>50</v>
      </c>
      <c r="E16" s="8">
        <f t="shared" si="2"/>
        <v>65</v>
      </c>
      <c r="F16" s="8">
        <f t="shared" si="2"/>
        <v>75</v>
      </c>
      <c r="G16" s="8">
        <f t="shared" si="2"/>
        <v>90</v>
      </c>
      <c r="H16" s="8">
        <f t="shared" si="2"/>
        <v>105</v>
      </c>
      <c r="I16" s="8">
        <f t="shared" si="2"/>
        <v>125</v>
      </c>
    </row>
    <row r="17" spans="1:9" hidden="1" x14ac:dyDescent="0.3">
      <c r="A17" t="s">
        <v>4</v>
      </c>
      <c r="B17" s="8">
        <f>IF(B10&gt;0,B10," ")</f>
        <v>35</v>
      </c>
      <c r="C17" s="8">
        <f t="shared" si="2"/>
        <v>50</v>
      </c>
      <c r="D17" s="8">
        <f t="shared" si="2"/>
        <v>65</v>
      </c>
      <c r="E17" s="8">
        <f t="shared" si="2"/>
        <v>75</v>
      </c>
      <c r="F17" s="8">
        <f t="shared" si="2"/>
        <v>90</v>
      </c>
      <c r="G17" s="8">
        <f t="shared" si="2"/>
        <v>105</v>
      </c>
      <c r="H17" s="8">
        <f t="shared" si="2"/>
        <v>125</v>
      </c>
      <c r="I17" s="8">
        <f t="shared" si="2"/>
        <v>150</v>
      </c>
    </row>
    <row r="18" spans="1:9" hidden="1" x14ac:dyDescent="0.3">
      <c r="B18" s="3">
        <f>IF(B16&gt;0,AVERAGE(B16:B17)," ")</f>
        <v>29</v>
      </c>
      <c r="C18" s="3">
        <f t="shared" ref="C18:H18" si="3">IF(C16&gt;0,AVERAGE(C16:C17)," ")</f>
        <v>42.5</v>
      </c>
      <c r="D18" s="3">
        <f t="shared" si="3"/>
        <v>57.5</v>
      </c>
      <c r="E18" s="3">
        <f t="shared" si="3"/>
        <v>70</v>
      </c>
      <c r="F18" s="3">
        <f t="shared" si="3"/>
        <v>82.5</v>
      </c>
      <c r="G18" s="3">
        <f t="shared" si="3"/>
        <v>97.5</v>
      </c>
      <c r="H18" s="3">
        <f t="shared" si="3"/>
        <v>115</v>
      </c>
      <c r="I18" s="3">
        <f>IF(I16&gt;0,AVERAGE(I16:I17)," ")</f>
        <v>137.5</v>
      </c>
    </row>
    <row r="19" spans="1:9" hidden="1" x14ac:dyDescent="0.3">
      <c r="B19" s="3"/>
      <c r="C19" s="3"/>
      <c r="D19" s="3"/>
      <c r="E19" s="3"/>
      <c r="F19" s="5"/>
      <c r="G19" s="6"/>
      <c r="I19" s="7"/>
    </row>
    <row r="20" spans="1:9" x14ac:dyDescent="0.3">
      <c r="A20" t="s">
        <v>15</v>
      </c>
      <c r="F20" s="6"/>
      <c r="G20" s="6"/>
      <c r="I20" s="7"/>
    </row>
    <row r="21" spans="1:9" x14ac:dyDescent="0.3">
      <c r="A21" t="s">
        <v>0</v>
      </c>
      <c r="B21" s="19">
        <f>IF(B9&gt;0,(0.000042*(B14^2) - 0.02372*(B14) +6.1452)," ")</f>
        <v>4.8003618587608567</v>
      </c>
      <c r="C21" s="19">
        <f t="shared" ref="C21:I21" si="4">IF(C9&gt;0,(0.000042*(C14^2) - 0.02372*(C14) +6.1452)," ")</f>
        <v>4.2914390640521631</v>
      </c>
      <c r="D21" s="19">
        <f t="shared" si="4"/>
        <v>3.8132370721987137</v>
      </c>
      <c r="E21" s="19">
        <f t="shared" si="4"/>
        <v>3.4849068728834176</v>
      </c>
      <c r="F21" s="19">
        <f t="shared" si="4"/>
        <v>3.2203689104431925</v>
      </c>
      <c r="G21" s="19">
        <f t="shared" si="4"/>
        <v>2.9871291081900182</v>
      </c>
      <c r="H21" s="19">
        <f t="shared" si="4"/>
        <v>2.8311178766739453</v>
      </c>
      <c r="I21" s="19">
        <f t="shared" si="4"/>
        <v>2.8142536497820565</v>
      </c>
    </row>
    <row r="22" spans="1:9" x14ac:dyDescent="0.3">
      <c r="A22" t="s">
        <v>1</v>
      </c>
      <c r="B22" s="20">
        <f>IF(B9&gt;0,(0.000056*(B14^2) - 0.02844*(B14) +6.6391)," ")</f>
        <v>5.0497190035749284</v>
      </c>
      <c r="C22" s="20">
        <f t="shared" ref="C22:I22" si="5">IF(C9&gt;0,(0.000056*(C14^2) - 0.02844*(C14) +6.6391)," ")</f>
        <v>4.4659981424886048</v>
      </c>
      <c r="D22" s="20">
        <f t="shared" si="5"/>
        <v>3.9337764480083757</v>
      </c>
      <c r="E22" s="20">
        <f t="shared" si="5"/>
        <v>3.5838203166916238</v>
      </c>
      <c r="F22" s="20">
        <f t="shared" si="5"/>
        <v>3.318920501208301</v>
      </c>
      <c r="G22" s="20">
        <f t="shared" si="5"/>
        <v>3.1133150595284396</v>
      </c>
      <c r="H22" s="20">
        <f t="shared" si="5"/>
        <v>3.0282445390521082</v>
      </c>
      <c r="I22" s="20">
        <f t="shared" si="5"/>
        <v>3.1638303451828147</v>
      </c>
    </row>
    <row r="23" spans="1:9" x14ac:dyDescent="0.3">
      <c r="A23" t="s">
        <v>7</v>
      </c>
      <c r="B23" s="20">
        <f>IF(B9&gt;0,(IF((0.000042*(B14^2)-0.02372*(B14)+6.1452)*(0.0023*(B18)+0.9644)&lt;B22,B22,(0.000042*(B14^2)-0.02372*(B14)+6.1452)*(0.0023*(B18)+0.9644)))," ")</f>
        <v>5.0497190035749284</v>
      </c>
      <c r="C23" s="20">
        <f t="shared" ref="C23:I23" si="6">IF(C9&gt;0,(IF((0.000042*(C14^2)-0.02372*(C14)+6.1452)*(0.0023*(C18)+0.9644)&lt;C22,C22,(0.000042*(C14^2)-0.02372*(C14)+6.1452)*(0.0023*(C18)+0.9644)))," ")</f>
        <v>4.5581520018830046</v>
      </c>
      <c r="D23" s="20">
        <f t="shared" si="6"/>
        <v>4.1817864352267202</v>
      </c>
      <c r="E23" s="20">
        <f t="shared" si="6"/>
        <v>3.9219141947429979</v>
      </c>
      <c r="F23" s="20">
        <f t="shared" si="6"/>
        <v>3.7167887779880107</v>
      </c>
      <c r="G23" s="20">
        <f t="shared" si="6"/>
        <v>3.5506510144500649</v>
      </c>
      <c r="H23" s="20">
        <f t="shared" si="6"/>
        <v>3.4791607586446118</v>
      </c>
      <c r="I23" s="20">
        <f t="shared" si="6"/>
        <v>3.6040739365933909</v>
      </c>
    </row>
    <row r="25" spans="1:9" x14ac:dyDescent="0.3">
      <c r="A25" t="s">
        <v>16</v>
      </c>
      <c r="F25" s="6"/>
      <c r="G25" s="6"/>
      <c r="I25" s="7"/>
    </row>
    <row r="26" spans="1:9" x14ac:dyDescent="0.3">
      <c r="A26" t="s">
        <v>0</v>
      </c>
      <c r="B26" s="19">
        <f>IF(B$6&gt;0,(B21*(B$6)/10000)," ")</f>
        <v>1.1722482595647981</v>
      </c>
      <c r="C26" s="19">
        <f t="shared" ref="C26:H26" si="7">IF(C$6&gt;0,(C21*(C$6)/10000)," ")</f>
        <v>1.0479693243713337</v>
      </c>
      <c r="D26" s="19">
        <f t="shared" si="7"/>
        <v>0.93119240855454777</v>
      </c>
      <c r="E26" s="19">
        <f t="shared" si="7"/>
        <v>0.85101418115540095</v>
      </c>
      <c r="F26" s="19">
        <f t="shared" si="7"/>
        <v>0.78641401658792798</v>
      </c>
      <c r="G26" s="19">
        <f t="shared" si="7"/>
        <v>0.72945686204477045</v>
      </c>
      <c r="H26" s="19">
        <f t="shared" si="7"/>
        <v>0.69135892276473332</v>
      </c>
      <c r="I26" s="19">
        <f t="shared" ref="I26" si="8">IF(I$6&gt;0,(I21*(I$6)/10000)," ")</f>
        <v>0.68730720245457422</v>
      </c>
    </row>
    <row r="27" spans="1:9" x14ac:dyDescent="0.3">
      <c r="A27" t="s">
        <v>1</v>
      </c>
      <c r="B27" s="19">
        <f t="shared" ref="B27:H28" si="9">IF(B$6&gt;0,(B22*(B$6)/10000)," ")</f>
        <v>1.233141268804272</v>
      </c>
      <c r="C27" s="19">
        <f t="shared" si="9"/>
        <v>1.0905966474584259</v>
      </c>
      <c r="D27" s="19">
        <f t="shared" si="9"/>
        <v>0.96062812145690346</v>
      </c>
      <c r="E27" s="19">
        <f t="shared" si="9"/>
        <v>0.87516884194209033</v>
      </c>
      <c r="F27" s="19">
        <f t="shared" si="9"/>
        <v>0.81048031286950917</v>
      </c>
      <c r="G27" s="19">
        <f t="shared" si="9"/>
        <v>0.76027146856615813</v>
      </c>
      <c r="H27" s="19">
        <f t="shared" si="9"/>
        <v>0.73949724935044392</v>
      </c>
      <c r="I27" s="19">
        <f t="shared" ref="I27" si="10">IF(I$6&gt;0,(I22*(I$6)/10000)," ")</f>
        <v>0.77268208704531349</v>
      </c>
    </row>
    <row r="28" spans="1:9" x14ac:dyDescent="0.3">
      <c r="A28" t="s">
        <v>7</v>
      </c>
      <c r="B28" s="19">
        <f t="shared" si="9"/>
        <v>1.233141268804272</v>
      </c>
      <c r="C28" s="19">
        <f t="shared" si="9"/>
        <v>1.1131006178810119</v>
      </c>
      <c r="D28" s="19">
        <f t="shared" si="9"/>
        <v>1.0211921548413452</v>
      </c>
      <c r="E28" s="19">
        <f t="shared" si="9"/>
        <v>0.95773135947228816</v>
      </c>
      <c r="F28" s="19">
        <f t="shared" si="9"/>
        <v>0.90763973724495717</v>
      </c>
      <c r="G28" s="19">
        <f t="shared" si="9"/>
        <v>0.86706889906951634</v>
      </c>
      <c r="H28" s="19">
        <f t="shared" si="9"/>
        <v>0.84961098018558101</v>
      </c>
      <c r="I28" s="19">
        <f t="shared" ref="I28" si="11">IF(I$6&gt;0,(I23*(I$6)/10000)," ")</f>
        <v>0.88019996882345053</v>
      </c>
    </row>
    <row r="29" spans="1:9" x14ac:dyDescent="0.3">
      <c r="A29" t="s">
        <v>19</v>
      </c>
      <c r="B29" s="19">
        <f>IF(B$6&gt;0,AVERAGE(B26:B27)," ")</f>
        <v>1.2026947641845349</v>
      </c>
      <c r="C29" s="19">
        <f t="shared" ref="C29:I29" si="12">IF(C$6&gt;0,AVERAGE(C26:C27)," ")</f>
        <v>1.0692829859148798</v>
      </c>
      <c r="D29" s="19">
        <f t="shared" si="12"/>
        <v>0.94591026500572561</v>
      </c>
      <c r="E29" s="19">
        <f t="shared" si="12"/>
        <v>0.86309151154874564</v>
      </c>
      <c r="F29" s="19">
        <f t="shared" si="12"/>
        <v>0.79844716472871857</v>
      </c>
      <c r="G29" s="19">
        <f t="shared" si="12"/>
        <v>0.74486416530546429</v>
      </c>
      <c r="H29" s="19">
        <f t="shared" si="12"/>
        <v>0.71542808605758856</v>
      </c>
      <c r="I29" s="19">
        <f t="shared" si="12"/>
        <v>0.72999464474994391</v>
      </c>
    </row>
    <row r="30" spans="1:9" x14ac:dyDescent="0.3">
      <c r="A30" t="s">
        <v>18</v>
      </c>
      <c r="B30" s="19">
        <f>IF(B$6&gt;0,AVERAGE(B27:B28)," ")</f>
        <v>1.233141268804272</v>
      </c>
      <c r="C30" s="19">
        <f t="shared" ref="C30:I30" si="13">IF(C$6&gt;0,AVERAGE(C27:C28)," ")</f>
        <v>1.1018486326697188</v>
      </c>
      <c r="D30" s="19">
        <f t="shared" si="13"/>
        <v>0.99091013814912432</v>
      </c>
      <c r="E30" s="19">
        <f t="shared" si="13"/>
        <v>0.91645010070718924</v>
      </c>
      <c r="F30" s="19">
        <f t="shared" si="13"/>
        <v>0.85906002505723311</v>
      </c>
      <c r="G30" s="19">
        <f t="shared" si="13"/>
        <v>0.81367018381783729</v>
      </c>
      <c r="H30" s="19">
        <f t="shared" si="13"/>
        <v>0.79455411476801241</v>
      </c>
      <c r="I30" s="19">
        <f t="shared" si="13"/>
        <v>0.82644102793438201</v>
      </c>
    </row>
    <row r="31" spans="1:9" hidden="1" x14ac:dyDescent="0.3">
      <c r="A31" s="17" t="s">
        <v>20</v>
      </c>
      <c r="B31" s="18">
        <f t="shared" ref="B31:I31" si="14">B23/B21</f>
        <v>1.0519454891424456</v>
      </c>
      <c r="C31" s="18">
        <f t="shared" si="14"/>
        <v>1.0621499999999999</v>
      </c>
      <c r="D31" s="18">
        <f t="shared" si="14"/>
        <v>1.0966500000000001</v>
      </c>
      <c r="E31" s="18">
        <f t="shared" si="14"/>
        <v>1.1254</v>
      </c>
      <c r="F31" s="18">
        <f t="shared" si="14"/>
        <v>1.15415</v>
      </c>
      <c r="G31" s="18">
        <f t="shared" si="14"/>
        <v>1.18865</v>
      </c>
      <c r="H31" s="18">
        <f t="shared" si="14"/>
        <v>1.2289000000000001</v>
      </c>
      <c r="I31" s="18">
        <f t="shared" si="14"/>
        <v>1.2806500000000001</v>
      </c>
    </row>
    <row r="34" spans="3:8" x14ac:dyDescent="0.3">
      <c r="C34" s="15"/>
    </row>
    <row r="36" spans="3:8" x14ac:dyDescent="0.3">
      <c r="H36" s="16"/>
    </row>
    <row r="38" spans="3:8" x14ac:dyDescent="0.3">
      <c r="F38" s="16"/>
    </row>
  </sheetData>
  <sheetProtection algorithmName="SHA-512" hashValue="GTha9FVlxmjAO2LlVaCY//cE24Z+kinTDSJPw3/ICN0TLrdEAoVCt5cVEgjUA65qxXm5nLvL6HdEj9sbw6bPew==" saltValue="63syE2cNOweAWL5ltoqbwQ==" spinCount="100000" sheet="1" objects="1" scenarios="1"/>
  <dataValidations count="1">
    <dataValidation type="decimal" errorStyle="warning" allowBlank="1" showInputMessage="1" showErrorMessage="1" error="This calculator is based on data between 23 and 150 kg. It is not recommended to use for body weight outside of this range." sqref="B9:I10" xr:uid="{F7B942F7-B77B-4713-8B97-ADC07273DE84}">
      <formula1>23</formula1>
      <formula2>150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Lbs - NE</vt:lpstr>
      <vt:lpstr>Lbs - ME</vt:lpstr>
      <vt:lpstr>Metric - ME</vt:lpstr>
      <vt:lpstr>Metric - NE</vt:lpstr>
    </vt:vector>
  </TitlesOfParts>
  <Company>Genus,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mgoncalves</dc:creator>
  <cp:lastModifiedBy>uorlando</cp:lastModifiedBy>
  <cp:lastPrinted>2018-04-24T15:21:41Z</cp:lastPrinted>
  <dcterms:created xsi:type="dcterms:W3CDTF">2016-02-24T09:53:59Z</dcterms:created>
  <dcterms:modified xsi:type="dcterms:W3CDTF">2018-08-16T17:05:58Z</dcterms:modified>
</cp:coreProperties>
</file>